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WPxlFqbIGwz8JQiZ7RywvESaPvcxqKgvf88MbMPucKkVHtgX/yT37gMf0RiBCyCWr4RpCE33ZsZXG7DJG+gEg==" workbookSaltValue="E77w9atfCH+LaTHTg6LXz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BF9" i="8"/>
  <c r="C30" i="7"/>
  <c r="AO14" i="21"/>
  <c r="AP14" i="16"/>
  <c r="T23" i="17"/>
  <c r="T26" i="17" s="1"/>
  <c r="T30" i="17" s="1"/>
  <c r="BG16" i="13"/>
  <c r="BE16" i="13"/>
  <c r="G30" i="14"/>
  <c r="G23" i="14"/>
  <c r="X32" i="20"/>
  <c r="H21" i="2" l="1"/>
  <c r="AY14" i="8"/>
  <c r="BG16" i="8"/>
  <c r="Z14" i="17"/>
  <c r="BD17" i="13"/>
  <c r="BE17" i="13"/>
  <c r="BF17" i="8"/>
  <c r="B16" i="6"/>
  <c r="BD12" i="8"/>
  <c r="R8" i="9"/>
  <c r="X12" i="21" s="1"/>
  <c r="T18"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R13" i="14"/>
  <c r="S13" i="14"/>
  <c r="V13" i="14" s="1"/>
  <c r="S18" i="14"/>
  <c r="V18" i="14" s="1"/>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AS31" i="8" s="1"/>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R11" i="14" l="1"/>
  <c r="S21" i="14"/>
  <c r="V21" i="14" s="1"/>
  <c r="S10" i="14"/>
  <c r="V10" i="14" s="1"/>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AZ21" i="11"/>
  <c r="V22" i="11"/>
  <c r="V29" i="11"/>
  <c r="BH28" i="16"/>
  <c r="S28" i="14"/>
  <c r="V28" i="14" s="1"/>
  <c r="BI18" i="11"/>
  <c r="BH20" i="11"/>
  <c r="V28" i="11"/>
  <c r="BK25" i="11"/>
  <c r="BM25" i="11"/>
  <c r="Q10" i="21"/>
  <c r="BI10" i="11"/>
  <c r="BG29" i="11"/>
  <c r="S9" i="17"/>
  <c r="AZ29" i="11"/>
  <c r="S18" i="16"/>
  <c r="BF25" i="11"/>
  <c r="BK12" i="11"/>
  <c r="BI28" i="11"/>
  <c r="BL18" i="11"/>
  <c r="BJ19" i="11"/>
  <c r="BF19" i="11"/>
  <c r="BH18" i="16"/>
  <c r="BL9" i="11"/>
  <c r="BH21" i="16"/>
  <c r="BF11" i="11"/>
  <c r="K9" i="12"/>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L19" i="11"/>
  <c r="BJ18" i="11"/>
  <c r="BM17" i="11"/>
  <c r="BF21" i="11"/>
  <c r="BF17" i="11"/>
  <c r="BL12" i="11"/>
  <c r="BK11" i="11"/>
  <c r="AP10" i="21"/>
  <c r="BH20" i="16"/>
  <c r="BH22" i="16"/>
  <c r="BJ20" i="11"/>
  <c r="BH13" i="11"/>
  <c r="BH18" i="11"/>
  <c r="T18" i="16"/>
  <c r="BL29" i="11"/>
  <c r="P29" i="11" s="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Q17" i="11" s="1"/>
  <c r="BM21" i="11"/>
  <c r="P21" i="11" s="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BM16" i="11"/>
  <c r="P16" i="11" s="1"/>
  <c r="AO28" i="17"/>
  <c r="BJ25" i="11"/>
  <c r="AZ16" i="11"/>
  <c r="AZ23" i="11" s="1"/>
  <c r="AZ26" i="11" s="1"/>
  <c r="BU16" i="17"/>
  <c r="BW19" i="20"/>
  <c r="X20" i="16"/>
  <c r="BU10" i="17"/>
  <c r="BW25" i="20"/>
  <c r="BU22" i="17"/>
  <c r="X21" i="16"/>
  <c r="BU9" i="17"/>
  <c r="BU19" i="17"/>
  <c r="BW10" i="20"/>
  <c r="BV22" i="16"/>
  <c r="BU12" i="17"/>
  <c r="S25" i="17"/>
  <c r="AZ20" i="11"/>
  <c r="BG12" i="11"/>
  <c r="BI9" i="11"/>
  <c r="BL10" i="11"/>
  <c r="BH11" i="11"/>
  <c r="BM9" i="11"/>
  <c r="Q9" i="11" s="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E14" i="8"/>
  <c r="BW33" i="20"/>
  <c r="Q21" i="11"/>
  <c r="P9" i="11"/>
  <c r="Q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BJ23" i="11" l="1"/>
  <c r="BV23" i="16"/>
  <c r="BV26" i="16" s="1"/>
  <c r="BV30" i="16" s="1"/>
  <c r="P17" i="11"/>
  <c r="BK23" i="11"/>
  <c r="AQ17" i="11"/>
  <c r="P13" i="11"/>
  <c r="Q13" i="11"/>
  <c r="AZ14" i="11"/>
  <c r="AZ31" i="11"/>
  <c r="BI23" i="11"/>
  <c r="U14" i="17"/>
  <c r="P20" i="11"/>
  <c r="Q25" i="11"/>
  <c r="BK14" i="11"/>
  <c r="Q23" i="17"/>
  <c r="Q31"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<sst xmlns="http://schemas.openxmlformats.org/spreadsheetml/2006/main" count="2682" uniqueCount="1193">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</sst>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kRK6XAjU0a5L1PXYIbwNP9yWznoUEtOEg3jMhlNfVZQa77rXKD+1c0i7ItBndyk/VGSoo+0St1FJh0wPWAM9A==" saltValue="47D4yIoPQhVZwY8W/my9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22</v>
      </c>
      <c r="F10" s="240">
        <f>IF(ISNUMBER(Datos!K10),Datos!K10," - ")</f>
        <v>23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6.2173913043478253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9.1911971830985912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22</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660</v>
      </c>
      <c r="D17" s="239">
        <f>IF(ISNUMBER(IF(D_I="SI",Datos!I17,Datos!I17+Datos!AC17)),IF(D_I="SI",Datos!I17,Datos!I17+Datos!AC17)," - ")</f>
        <v>739</v>
      </c>
      <c r="E17" s="240">
        <f>IF(ISNUMBER(IF(D_I="SI",Datos!J17,Datos!J17+Datos!AD17)),IF(D_I="SI",Datos!J17,Datos!J17+Datos!AD17)," - ")</f>
        <v>3010</v>
      </c>
      <c r="F17" s="240">
        <f>IF(ISNUMBER(IF(D_I="SI",Datos!K17,Datos!K17+Datos!AE17)),IF(D_I="SI",Datos!K17,Datos!K17+Datos!AE17)," - ")</f>
        <v>2716</v>
      </c>
      <c r="G17" s="1390" t="str">
        <f>IF(Datos!E17&lt;&gt;"",Datos!E17,Datos!D17)</f>
        <v>04</v>
      </c>
      <c r="H17" s="241">
        <f>IF(ISNUMBER(IF(D_I="SI",Datos!L17,Datos!L17+Datos!AF17)),IF(D_I="SI",Datos!L17,Datos!L17+Datos!AF17)," - ")</f>
        <v>954</v>
      </c>
      <c r="I17" s="1400" t="str">
        <f>IF(ISNUMBER(Datos!AS17/Datos!BM17),Datos!AS17/Datos!BM17," - ")</f>
        <v xml:space="preserve"> - </v>
      </c>
      <c r="J17" s="1401">
        <f>IF(ISNUMBER(Datos!BY17/Datos!CN17),Datos!BY17/Datos!CN17," - ")</f>
        <v>0</v>
      </c>
      <c r="K17" s="244">
        <f t="shared" si="3"/>
        <v>0.44545454545454544</v>
      </c>
      <c r="L17" s="1402">
        <f>IF(ISNUMBER(NºAsuntos!I17/NºAsuntos!G17),(NºAsuntos!I17/NºAsuntos!G17)*11," - ")</f>
        <v>3.8637702503681881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185</v>
      </c>
      <c r="F18" s="240">
        <f>IF(ISNUMBER(IF(D_I="SI",Datos!K18,Datos!K18+Datos!AE18)),IF(D_I="SI",Datos!K18,Datos!K18+Datos!AE18)," - ")</f>
        <v>191</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-0.1276595744680851</v>
      </c>
      <c r="L18" s="1402">
        <f>IF(ISNUMBER(NºAsuntos!I18/NºAsuntos!G18),(NºAsuntos!I18/NºAsuntos!G18)*11," - ")</f>
        <v>2.3612565445026177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707</v>
      </c>
      <c r="D23" s="1407">
        <f>SUBTOTAL(9,D16:D22)</f>
        <v>786</v>
      </c>
      <c r="E23" s="1408">
        <f>SUBTOTAL(9,E16:E22)</f>
        <v>3195</v>
      </c>
      <c r="F23" s="1408">
        <f>SUBTOTAL(9,F16:F22)</f>
        <v>2907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721</v>
      </c>
      <c r="D31" s="1435">
        <f>SUBTOTAL(9,D9:D30)</f>
        <v>800</v>
      </c>
      <c r="E31" s="1436">
        <f>SUBTOTAL(9,E9:E30)</f>
        <v>3217</v>
      </c>
      <c r="F31" s="1436">
        <f>SUBTOTAL(9,F9:F30)</f>
        <v>2930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kgmqwAvQMlZM454cDaD/oKub9uYdLZt+6pXN50iQm3ut87FugCUZib2+KmfJCR832qkwVFkPDvDCt6HpFyxdA==" saltValue="NAlqdQXslV268PIR7dEBH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93NBEbhGA93Wth2abAWuphpeG6wQVgP1/QBhjnTdGEixiQM728bgfNjI9X/Z8yJSXq3e+1Yv0Yq71OmpM89Zw==" saltValue="gp7u0LX7pDRzr/4blqr3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22</v>
      </c>
      <c r="K10" s="194">
        <v>23</v>
      </c>
      <c r="L10" s="194">
        <v>13</v>
      </c>
      <c r="M10" s="194">
        <v>11</v>
      </c>
      <c r="N10" s="194">
        <v>7</v>
      </c>
      <c r="O10" s="194">
        <v>7</v>
      </c>
      <c r="P10" s="194">
        <v>5</v>
      </c>
      <c r="Q10" s="194">
        <v>6</v>
      </c>
      <c r="R10" s="194">
        <v>10</v>
      </c>
      <c r="S10" s="194">
        <v>15</v>
      </c>
      <c r="T10" s="194">
        <v>25</v>
      </c>
      <c r="U10" s="194">
        <v>26</v>
      </c>
      <c r="V10" s="194">
        <v>14</v>
      </c>
      <c r="W10" s="194">
        <v>17</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25</v>
      </c>
      <c r="BA10" s="139">
        <f t="shared" si="0"/>
        <v>26</v>
      </c>
      <c r="BB10" s="139">
        <f t="shared" si="0"/>
        <v>14</v>
      </c>
      <c r="BC10" s="135">
        <f t="shared" si="0"/>
        <v>17</v>
      </c>
      <c r="BD10" s="136">
        <f>IF(ISNUMBER(BA10/AZ10),BA10/AZ10," - ")</f>
        <v>1.04</v>
      </c>
      <c r="BE10" s="137">
        <f>IF(ISNUMBER(BB10/BA10),BB10/BA10, " - ")</f>
        <v>0.53846153846153844</v>
      </c>
      <c r="BF10" s="137">
        <f>IF(ISNUMBER(BC10/BA10),BC10/BA10, " - ")</f>
        <v>0.65384615384615385</v>
      </c>
      <c r="BG10" s="209">
        <f>IF(ISNUMBER((AY10+AZ10)/BA10),(AY10+AZ10)/BA10," - ")</f>
        <v>1.5384615384615385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1663</v>
      </c>
      <c r="J12" s="196">
        <v>3132</v>
      </c>
      <c r="K12" s="196">
        <v>2542</v>
      </c>
      <c r="L12" s="196">
        <v>2210</v>
      </c>
      <c r="M12" s="196">
        <v>743</v>
      </c>
      <c r="N12" s="196">
        <v>968</v>
      </c>
      <c r="O12" s="194">
        <v>1035</v>
      </c>
      <c r="P12" s="196">
        <v>786</v>
      </c>
      <c r="Q12" s="196">
        <v>434</v>
      </c>
      <c r="R12" s="196">
        <v>2899</v>
      </c>
      <c r="S12" s="196">
        <v>1693</v>
      </c>
      <c r="T12" s="196">
        <v>2712</v>
      </c>
      <c r="U12" s="196">
        <v>2699</v>
      </c>
      <c r="V12" s="196">
        <v>1663</v>
      </c>
      <c r="W12" s="196">
        <v>693</v>
      </c>
      <c r="X12" s="202">
        <v>1089</v>
      </c>
      <c r="Y12" s="204">
        <v>88</v>
      </c>
      <c r="Z12" s="194">
        <v>373</v>
      </c>
      <c r="AA12" s="194">
        <v>298</v>
      </c>
      <c r="AB12" s="194">
        <v>163</v>
      </c>
      <c r="AC12" s="196">
        <v>0</v>
      </c>
      <c r="AD12" s="196">
        <v>0</v>
      </c>
      <c r="AE12" s="196">
        <v>0</v>
      </c>
      <c r="AF12" s="202">
        <v>0</v>
      </c>
      <c r="AG12" s="215">
        <v>99</v>
      </c>
      <c r="AH12" s="196">
        <v>430</v>
      </c>
      <c r="AI12" s="196">
        <v>401</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1792</v>
      </c>
      <c r="AZ12" s="137">
        <f t="shared" si="1"/>
        <v>3142</v>
      </c>
      <c r="BA12" s="137">
        <f t="shared" si="1"/>
        <v>3100</v>
      </c>
      <c r="BB12" s="137">
        <f t="shared" si="1"/>
        <v>1751</v>
      </c>
      <c r="BC12" s="135">
        <f>IF(ISNUMBER(X12),X12," - ")</f>
        <v>1089</v>
      </c>
      <c r="BD12" s="136">
        <f t="shared" si="2"/>
        <v>0.98663271801400387</v>
      </c>
      <c r="BE12" s="137">
        <f t="shared" si="3"/>
        <v>0.56483870967741934</v>
      </c>
      <c r="BF12" s="137">
        <f t="shared" si="4"/>
        <v>0.35129032258064519</v>
      </c>
      <c r="BG12" s="209">
        <f t="shared" si="5"/>
        <v>1.5916129032258064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1677</v>
      </c>
      <c r="J14" s="197">
        <f t="shared" si="7"/>
        <v>3154</v>
      </c>
      <c r="K14" s="197">
        <f t="shared" si="7"/>
        <v>2565</v>
      </c>
      <c r="L14" s="197">
        <f t="shared" si="7"/>
        <v>2223</v>
      </c>
      <c r="M14" s="197">
        <f t="shared" si="7"/>
        <v>754</v>
      </c>
      <c r="N14" s="197">
        <f t="shared" si="7"/>
        <v>975</v>
      </c>
      <c r="O14" s="197">
        <f t="shared" si="7"/>
        <v>1042</v>
      </c>
      <c r="P14" s="197">
        <f t="shared" si="7"/>
        <v>791</v>
      </c>
      <c r="Q14" s="197">
        <f t="shared" si="7"/>
        <v>440</v>
      </c>
      <c r="R14" s="197">
        <f t="shared" si="7"/>
        <v>2909</v>
      </c>
      <c r="S14" s="197">
        <f t="shared" si="7"/>
        <v>1708</v>
      </c>
      <c r="T14" s="197">
        <f t="shared" si="7"/>
        <v>2737</v>
      </c>
      <c r="U14" s="197">
        <f t="shared" si="7"/>
        <v>2725</v>
      </c>
      <c r="V14" s="197">
        <f t="shared" si="7"/>
        <v>1677</v>
      </c>
      <c r="W14" s="197">
        <f t="shared" si="7"/>
        <v>710</v>
      </c>
      <c r="X14" s="197">
        <f t="shared" si="7"/>
        <v>1093</v>
      </c>
      <c r="Y14" s="197">
        <f t="shared" si="7"/>
        <v>88</v>
      </c>
      <c r="Z14" s="197">
        <f t="shared" si="7"/>
        <v>373</v>
      </c>
      <c r="AA14" s="197">
        <f t="shared" si="7"/>
        <v>298</v>
      </c>
      <c r="AB14" s="197">
        <f t="shared" si="7"/>
        <v>163</v>
      </c>
      <c r="AC14" s="197">
        <f t="shared" si="7"/>
        <v>0</v>
      </c>
      <c r="AD14" s="197">
        <f t="shared" si="7"/>
        <v>0</v>
      </c>
      <c r="AE14" s="197">
        <f t="shared" si="7"/>
        <v>0</v>
      </c>
      <c r="AF14" s="197">
        <f>SUBTOTAL(9,AF9:AF13)</f>
        <v>0</v>
      </c>
      <c r="AG14" s="197">
        <f t="shared" ref="AG14:AT14" si="8">SUBTOTAL(9,AG8:AG13)</f>
        <v>99</v>
      </c>
      <c r="AH14" s="197">
        <f t="shared" si="8"/>
        <v>430</v>
      </c>
      <c r="AI14" s="197">
        <f t="shared" si="8"/>
        <v>401</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1807</v>
      </c>
      <c r="AZ14" s="197">
        <f>SUBTOTAL(9,AZ8:AZ13)</f>
        <v>3167</v>
      </c>
      <c r="BA14" s="197">
        <f>SUBTOTAL(9,BA8:BA13)</f>
        <v>3126</v>
      </c>
      <c r="BB14" s="197">
        <f>SUBTOTAL(9,BB8:BB13)</f>
        <v>1765</v>
      </c>
      <c r="BC14" s="197">
        <f>SUBTOTAL(9,BC8:BC13)</f>
        <v>1106</v>
      </c>
      <c r="BD14" s="219">
        <f>IF(ISNUMBER(BA14/AZ14),BA14/AZ14," - ")</f>
        <v>0.98705399431638774</v>
      </c>
      <c r="BE14" s="220">
        <f>IF(ISNUMBER(BB14/BA14),BB14/BA14, " - ")</f>
        <v>0.56461932181701857</v>
      </c>
      <c r="BF14" s="220">
        <f>IF(ISNUMBER(BC14/BA14),BC14/BA14, " - ")</f>
        <v>0.35380678182981445</v>
      </c>
      <c r="BG14" s="221">
        <f>IF(ISNUMBER((AY14+AZ14)/BA14),(AY14+AZ14)/BA14," - ")</f>
        <v>1.5911708253358925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739</v>
      </c>
      <c r="J17" s="196">
        <v>3010</v>
      </c>
      <c r="K17" s="196">
        <v>2716</v>
      </c>
      <c r="L17" s="196">
        <v>954</v>
      </c>
      <c r="M17" s="196">
        <v>323</v>
      </c>
      <c r="N17" s="196">
        <v>1598</v>
      </c>
      <c r="O17" s="194">
        <v>41</v>
      </c>
      <c r="P17" s="196">
        <v>86</v>
      </c>
      <c r="Q17" s="196">
        <v>86</v>
      </c>
      <c r="R17" s="196">
        <v>81</v>
      </c>
      <c r="S17" s="196">
        <v>1013</v>
      </c>
      <c r="T17" s="196">
        <v>2426</v>
      </c>
      <c r="U17" s="196">
        <v>2642</v>
      </c>
      <c r="V17" s="196">
        <v>739</v>
      </c>
      <c r="W17" s="196">
        <v>346</v>
      </c>
      <c r="X17" s="202">
        <v>1560</v>
      </c>
      <c r="Y17" s="215">
        <v>0</v>
      </c>
      <c r="Z17" s="196">
        <v>0</v>
      </c>
      <c r="AA17" s="196">
        <v>0</v>
      </c>
      <c r="AB17" s="196">
        <v>0</v>
      </c>
      <c r="AC17" s="196">
        <v>0</v>
      </c>
      <c r="AD17" s="196">
        <v>21</v>
      </c>
      <c r="AE17" s="196">
        <v>21</v>
      </c>
      <c r="AF17" s="202">
        <v>0</v>
      </c>
      <c r="AG17" s="215">
        <v>0</v>
      </c>
      <c r="AH17" s="196">
        <v>0</v>
      </c>
      <c r="AI17" s="196">
        <v>0</v>
      </c>
      <c r="AJ17" s="216">
        <v>0</v>
      </c>
      <c r="AK17" s="195">
        <v>4</v>
      </c>
      <c r="AL17" s="196">
        <v>23</v>
      </c>
      <c r="AM17" s="196">
        <v>27</v>
      </c>
      <c r="AN17" s="202">
        <v>0</v>
      </c>
      <c r="AO17" s="283">
        <v>4</v>
      </c>
      <c r="AP17" s="168">
        <v>4</v>
      </c>
      <c r="AQ17" s="168">
        <v>4</v>
      </c>
      <c r="AR17" s="168">
        <v>4</v>
      </c>
      <c r="AS17" s="381" t="s">
        <v>650</v>
      </c>
      <c r="AT17" s="216"/>
      <c r="AU17" s="215"/>
      <c r="AV17" s="216"/>
      <c r="AW17" s="215"/>
      <c r="AX17" s="216"/>
      <c r="AY17" s="136">
        <f t="shared" si="10"/>
        <v>1013</v>
      </c>
      <c r="AZ17" s="137">
        <f t="shared" si="10"/>
        <v>2426</v>
      </c>
      <c r="BA17" s="137">
        <f t="shared" si="10"/>
        <v>2642</v>
      </c>
      <c r="BB17" s="137">
        <f t="shared" si="10"/>
        <v>739</v>
      </c>
      <c r="BC17" s="135">
        <f>IF(ISNUMBER(W17),W17," - ")</f>
        <v>346</v>
      </c>
      <c r="BD17" s="136">
        <f t="shared" ref="BD17:BD22" si="12">IF(ISNUMBER(BA17/AZ17),BA17/AZ17," - ")</f>
        <v>1.089035449299258</v>
      </c>
      <c r="BE17" s="137">
        <f t="shared" ref="BE17:BE22" si="13">IF(ISNUMBER(BB17/BA17),BB17/BA17, " - ")</f>
        <v>0.27971233913701743</v>
      </c>
      <c r="BF17" s="137">
        <f t="shared" ref="BF17:BF22" si="14">IF(ISNUMBER(BC17/BA17),BC17/BA17, " - ")</f>
        <v>0.13096139288417866</v>
      </c>
      <c r="BG17" s="209">
        <f t="shared" si="11"/>
        <v>1.3016654049962151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185</v>
      </c>
      <c r="K18" s="196">
        <v>191</v>
      </c>
      <c r="L18" s="196">
        <v>41</v>
      </c>
      <c r="M18" s="196">
        <v>26</v>
      </c>
      <c r="N18" s="196">
        <v>123</v>
      </c>
      <c r="O18" s="196">
        <v>1</v>
      </c>
      <c r="P18" s="196">
        <v>0</v>
      </c>
      <c r="Q18" s="196">
        <v>1</v>
      </c>
      <c r="R18" s="196">
        <v>0</v>
      </c>
      <c r="S18" s="196">
        <v>68</v>
      </c>
      <c r="T18" s="196">
        <v>167</v>
      </c>
      <c r="U18" s="196">
        <v>188</v>
      </c>
      <c r="V18" s="196">
        <v>47</v>
      </c>
      <c r="W18" s="196">
        <v>26</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167</v>
      </c>
      <c r="BA18" s="139">
        <f t="shared" si="15"/>
        <v>188</v>
      </c>
      <c r="BB18" s="139">
        <f t="shared" si="15"/>
        <v>47</v>
      </c>
      <c r="BC18" s="135">
        <f>IF(ISNUMBER(W18),W18," - ")</f>
        <v>26</v>
      </c>
      <c r="BD18" s="136">
        <f>IF(ISNUMBER(BA18/AZ18),BA18/AZ18," - ")</f>
        <v>1.125748502994012</v>
      </c>
      <c r="BE18" s="137">
        <f>IF(ISNUMBER(BB18/BA18),BB18/BA18, " - ")</f>
        <v>0.25</v>
      </c>
      <c r="BF18" s="137">
        <f>IF(ISNUMBER(BC18/BA18),BC18/BA18, " - ")</f>
        <v>0.13829787234042554</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786</v>
      </c>
      <c r="J23" s="197">
        <f t="shared" si="21"/>
        <v>3195</v>
      </c>
      <c r="K23" s="197">
        <f t="shared" si="21"/>
        <v>2907</v>
      </c>
      <c r="L23" s="197">
        <f t="shared" si="21"/>
        <v>995</v>
      </c>
      <c r="M23" s="197">
        <f t="shared" si="21"/>
        <v>349</v>
      </c>
      <c r="N23" s="197">
        <f t="shared" si="21"/>
        <v>1721</v>
      </c>
      <c r="O23" s="197">
        <f t="shared" si="21"/>
        <v>42</v>
      </c>
      <c r="P23" s="197">
        <f t="shared" si="21"/>
        <v>86</v>
      </c>
      <c r="Q23" s="197">
        <f t="shared" si="21"/>
        <v>87</v>
      </c>
      <c r="R23" s="197">
        <f t="shared" si="21"/>
        <v>81</v>
      </c>
      <c r="S23" s="197">
        <f t="shared" si="21"/>
        <v>1081</v>
      </c>
      <c r="T23" s="197">
        <f t="shared" si="21"/>
        <v>2593</v>
      </c>
      <c r="U23" s="197">
        <f t="shared" si="21"/>
        <v>2830</v>
      </c>
      <c r="V23" s="197">
        <f t="shared" si="21"/>
        <v>786</v>
      </c>
      <c r="W23" s="197">
        <f t="shared" si="21"/>
        <v>372</v>
      </c>
      <c r="X23" s="197">
        <f t="shared" si="21"/>
        <v>1644</v>
      </c>
      <c r="Y23" s="197">
        <f t="shared" si="21"/>
        <v>0</v>
      </c>
      <c r="Z23" s="197">
        <f t="shared" si="21"/>
        <v>0</v>
      </c>
      <c r="AA23" s="197">
        <f t="shared" si="21"/>
        <v>0</v>
      </c>
      <c r="AB23" s="197">
        <f t="shared" si="21"/>
        <v>0</v>
      </c>
      <c r="AC23" s="197">
        <f t="shared" si="21"/>
        <v>0</v>
      </c>
      <c r="AD23" s="197">
        <f t="shared" si="21"/>
        <v>21</v>
      </c>
      <c r="AE23" s="197">
        <f t="shared" si="21"/>
        <v>21</v>
      </c>
      <c r="AF23" s="197">
        <f t="shared" si="21"/>
        <v>0</v>
      </c>
      <c r="AG23" s="197">
        <f t="shared" si="21"/>
        <v>0</v>
      </c>
      <c r="AH23" s="197">
        <f t="shared" si="21"/>
        <v>0</v>
      </c>
      <c r="AI23" s="197">
        <f t="shared" si="21"/>
        <v>0</v>
      </c>
      <c r="AJ23" s="197">
        <f t="shared" si="21"/>
        <v>0</v>
      </c>
      <c r="AK23" s="197">
        <f t="shared" si="21"/>
        <v>4</v>
      </c>
      <c r="AL23" s="197">
        <f t="shared" si="21"/>
        <v>23</v>
      </c>
      <c r="AM23" s="197">
        <f t="shared" si="21"/>
        <v>27</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1081</v>
      </c>
      <c r="AZ23" s="197">
        <f>SUBTOTAL(9,AZ15:AZ22)</f>
        <v>2593</v>
      </c>
      <c r="BA23" s="197">
        <f>SUBTOTAL(9,BA15:BA22)</f>
        <v>2830</v>
      </c>
      <c r="BB23" s="197">
        <f>SUBTOTAL(9,BB15:BB22)</f>
        <v>786</v>
      </c>
      <c r="BC23" s="197">
        <f>SUBTOTAL(9,BC15:BC22)</f>
        <v>372</v>
      </c>
      <c r="BD23" s="219">
        <f>IF(ISNUMBER(BA23/AZ23),BA23/AZ23," - ")</f>
        <v>1.0913999228692635</v>
      </c>
      <c r="BE23" s="220">
        <f>IF(ISNUMBER(BB23/BA23),BB23/BA23, " - ")</f>
        <v>0.27773851590106008</v>
      </c>
      <c r="BF23" s="220">
        <f>IF(ISNUMBER(BC23/BA23),BC23/BA23, " - ")</f>
        <v>0.13144876325088339</v>
      </c>
      <c r="BG23" s="221">
        <f>IF(ISNUMBER((AY23+AZ23)/BA23),(AY23+AZ23)/BA23," - ")</f>
        <v>1.2982332155477032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2463</v>
      </c>
      <c r="J31" s="144">
        <f t="shared" si="36"/>
        <v>6349</v>
      </c>
      <c r="K31" s="144">
        <f t="shared" si="36"/>
        <v>5472</v>
      </c>
      <c r="L31" s="144">
        <f t="shared" si="36"/>
        <v>3218</v>
      </c>
      <c r="M31" s="144">
        <f t="shared" si="36"/>
        <v>1103</v>
      </c>
      <c r="N31" s="144">
        <f t="shared" si="36"/>
        <v>2696</v>
      </c>
      <c r="O31" s="144">
        <f t="shared" si="36"/>
        <v>1084</v>
      </c>
      <c r="P31" s="144">
        <f t="shared" si="36"/>
        <v>877</v>
      </c>
      <c r="Q31" s="144">
        <f t="shared" si="36"/>
        <v>527</v>
      </c>
      <c r="R31" s="144">
        <f t="shared" si="36"/>
        <v>2990</v>
      </c>
      <c r="S31" s="144">
        <f t="shared" si="36"/>
        <v>2789</v>
      </c>
      <c r="T31" s="144">
        <f t="shared" si="36"/>
        <v>5330</v>
      </c>
      <c r="U31" s="144">
        <f t="shared" si="36"/>
        <v>5555</v>
      </c>
      <c r="V31" s="144">
        <f t="shared" si="36"/>
        <v>2463</v>
      </c>
      <c r="W31" s="144">
        <f t="shared" si="36"/>
        <v>1082</v>
      </c>
      <c r="X31" s="144">
        <f t="shared" si="36"/>
        <v>2737</v>
      </c>
      <c r="Y31" s="144">
        <f t="shared" si="36"/>
        <v>88</v>
      </c>
      <c r="Z31" s="144">
        <f t="shared" si="36"/>
        <v>373</v>
      </c>
      <c r="AA31" s="144">
        <f t="shared" si="36"/>
        <v>298</v>
      </c>
      <c r="AB31" s="144">
        <f t="shared" si="36"/>
        <v>163</v>
      </c>
      <c r="AC31" s="144">
        <f t="shared" si="36"/>
        <v>0</v>
      </c>
      <c r="AD31" s="144">
        <f t="shared" si="36"/>
        <v>21</v>
      </c>
      <c r="AE31" s="144">
        <f t="shared" si="36"/>
        <v>21</v>
      </c>
      <c r="AF31" s="144">
        <f t="shared" si="36"/>
        <v>0</v>
      </c>
      <c r="AG31" s="144">
        <f t="shared" si="36"/>
        <v>99</v>
      </c>
      <c r="AH31" s="144">
        <f t="shared" si="36"/>
        <v>430</v>
      </c>
      <c r="AI31" s="144">
        <f t="shared" si="36"/>
        <v>401</v>
      </c>
      <c r="AJ31" s="144">
        <f t="shared" si="36"/>
        <v>88</v>
      </c>
      <c r="AK31" s="144">
        <f t="shared" si="36"/>
        <v>4</v>
      </c>
      <c r="AL31" s="144">
        <f t="shared" si="36"/>
        <v>23</v>
      </c>
      <c r="AM31" s="144">
        <f t="shared" si="36"/>
        <v>27</v>
      </c>
      <c r="AN31" s="224">
        <f t="shared" si="36"/>
        <v>0</v>
      </c>
      <c r="AO31" s="225">
        <v>5</v>
      </c>
      <c r="AP31" s="225">
        <v>4</v>
      </c>
      <c r="AQ31" s="225">
        <v>4</v>
      </c>
      <c r="AR31" s="225">
        <v>4</v>
      </c>
      <c r="AS31" s="166">
        <f t="shared" si="36"/>
        <v>0</v>
      </c>
      <c r="AT31" s="166">
        <f t="shared" si="36"/>
        <v>0</v>
      </c>
      <c r="AU31" s="225"/>
      <c r="AV31" s="226"/>
      <c r="AW31" s="225"/>
      <c r="AX31" s="226"/>
      <c r="AY31" s="143">
        <f>SUBTOTAL(9,AY9:AY30)</f>
        <v>2888</v>
      </c>
      <c r="AZ31" s="144">
        <f>SUBTOTAL(9,AZ9:AZ30)</f>
        <v>5760</v>
      </c>
      <c r="BA31" s="144">
        <f>SUBTOTAL(9,BA9:BA30)</f>
        <v>5956</v>
      </c>
      <c r="BB31" s="144">
        <f>SUBTOTAL(9,BB9:BB30)</f>
        <v>2551</v>
      </c>
      <c r="BC31" s="145">
        <f>SUBTOTAL(9,BC9:BC30)</f>
        <v>1478</v>
      </c>
      <c r="BD31" s="227">
        <f>IF(ISNUMBER(BA31/AZ31),BA31/AZ31," - ")</f>
        <v>1.0340277777777778</v>
      </c>
      <c r="BE31" s="224">
        <f>IF(ISNUMBER(BB31/BA31),BB31/BA31, " - ")</f>
        <v>0.42830758898589655</v>
      </c>
      <c r="BF31" s="224">
        <f>IF(ISNUMBER(BC31/BA31),BC31/BA31, " - ")</f>
        <v>0.24815312290127603</v>
      </c>
      <c r="BG31" s="145">
        <f>IF(ISNUMBER((AY31+AZ31)/BA31),(AY31+AZ31)/BA31," - ")</f>
        <v>1.4519811954331767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AO00xCFcy+Wg/hF5lr7DrFFxrFF05Vv7dxNGVf/OuQ0kRN38DMxPuP5mJdiISkmyoeEe9pX9U7AD8zKDanKA==" saltValue="8ag7Rq/MahhnffAF+wpS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6A7pob85kwVKUPbobyYJs4x3iX/JA1yWeyptEjQuN4vrL8jEs6Gna+mf03AseT1oiW4gPUpSjF/7dEteikkg==" saltValue="BkwWXRD1MfExExRBXweZ6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BETANZOS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6</v>
      </c>
      <c r="AD10" s="549"/>
      <c r="AE10" s="563"/>
      <c r="AF10" s="551">
        <f>IF(ISNUMBER(Datos!L10),Datos!L10,"-")</f>
        <v>13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7</v>
      </c>
      <c r="BE10" s="693" t="str">
        <f>IF(ISNUMBER(Datos!BW10),Datos!BW10," - ")</f>
        <v xml:space="preserve"> - </v>
      </c>
      <c r="BF10" s="762" t="str">
        <f>IF(ISNUMBER(Datos!BX10),Datos!BX10," - ")</f>
        <v xml:space="preserve"> - </v>
      </c>
      <c r="BG10" s="763">
        <f>IF(ISNUMBER(Datos!K10/Datos!J10),Datos!K10/Datos!J10," - ")</f>
        <v>1.0454545454545454</v>
      </c>
      <c r="BH10" s="764">
        <f>IF(ISNUMBER(((Datos!L10/Datos!K10)*11)/factor_trimestre),((Datos!L10/Datos!K10)*11)/factor_trimestre," - ")</f>
        <v>6.2173913043478253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373</v>
      </c>
      <c r="O12" s="549"/>
      <c r="P12" s="549"/>
      <c r="Q12" s="547">
        <f>IF(ISNUMBER(Datos!P12),Datos!P12,0)</f>
        <v>786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163</v>
      </c>
      <c r="AI12" s="549" t="str">
        <f>IF(ISNUMBER(Datos!CD12),Datos!CD12,"-")</f>
        <v>-</v>
      </c>
      <c r="AJ12" s="549" t="str">
        <f>IF(ISNUMBER(Datos!EN12),Datos!EN12," - ")</f>
        <v xml:space="preserve"> - </v>
      </c>
      <c r="AK12" s="549"/>
      <c r="AL12" s="550"/>
      <c r="AM12" s="766">
        <f>IF(ISNUMBER(Datos!R12),Datos!R12," - ")</f>
        <v>2899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743</v>
      </c>
      <c r="BD12" s="693">
        <f>IF(ISNUMBER(Datos!N12),Datos!N12," - ")</f>
        <v>968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0.81027104136947214</v>
      </c>
      <c r="BH12" s="764">
        <f>IF(ISNUMBER(((IF(J_V="SI",Datos!L12/Datos!K12,(Datos!L12+Datos!AB12)/(Datos!K12+Datos!AA12)))*11)/factor_trimestre),((IF(J_V="SI",Datos!L12/Datos!K12,(Datos!L12+Datos!AB12)/(Datos!K12+Datos!AA12)))*11)/factor_trimestre," - ")</f>
        <v>9.1911971830985912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0.13820180604632901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373</v>
      </c>
      <c r="O14" s="1199">
        <f t="shared" si="1"/>
        <v>0</v>
      </c>
      <c r="P14" s="1199">
        <f t="shared" si="1"/>
        <v>0</v>
      </c>
      <c r="Q14" s="1198">
        <f t="shared" si="1"/>
        <v>791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440</v>
      </c>
      <c r="AD14" s="1198">
        <f t="shared" si="2"/>
        <v>0</v>
      </c>
      <c r="AE14" s="1198">
        <f t="shared" si="2"/>
        <v>0</v>
      </c>
      <c r="AF14" s="1198">
        <f t="shared" si="2"/>
        <v>13</v>
      </c>
      <c r="AG14" s="1198">
        <f t="shared" si="2"/>
        <v>0</v>
      </c>
      <c r="AH14" s="1198">
        <f t="shared" si="2"/>
        <v>163</v>
      </c>
      <c r="AI14" s="1198">
        <f t="shared" si="2"/>
        <v>0</v>
      </c>
      <c r="AJ14" s="1198">
        <f t="shared" si="2"/>
        <v>0</v>
      </c>
      <c r="AK14" s="1198">
        <f t="shared" si="2"/>
        <v>0</v>
      </c>
      <c r="AL14" s="1198">
        <f t="shared" si="2"/>
        <v>0</v>
      </c>
      <c r="AM14" s="1198">
        <f t="shared" si="2"/>
        <v>2909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754</v>
      </c>
      <c r="BD14" s="1198">
        <f t="shared" si="2"/>
        <v>975</v>
      </c>
      <c r="BE14" s="1198">
        <f t="shared" si="2"/>
        <v>0</v>
      </c>
      <c r="BF14" s="1198">
        <f t="shared" si="2"/>
        <v>0</v>
      </c>
      <c r="BG14" s="1198">
        <f>IF(ISNUMBER(Datos!K14/Datos!J14),Datos!K14/Datos!J14," - ")</f>
        <v>0.81325301204819278</v>
      </c>
      <c r="BH14" s="1202">
        <f>IF(ISNUMBER(((Datos!L14/Datos!K14)*11)/factor_trimestre),((Datos!L14/Datos!K14)*11)/factor_trimestre," - ")</f>
        <v>9.5333333333333332</v>
      </c>
      <c r="BI14" s="1198">
        <f>IF(ISNUMBER('Resol  Asuntos'!D14/NºAsuntos!G14),'Resol  Asuntos'!D14/NºAsuntos!G14," - ")</f>
        <v>0.26336011177086971</v>
      </c>
      <c r="BJ14" s="1198" t="str">
        <f>IF(ISNUMBER(Datos!CI14/Datos!CJ14),Datos!CI14/Datos!CJ14," - ")</f>
        <v xml:space="preserve"> - </v>
      </c>
      <c r="BK14" s="1198">
        <f>SUBTOTAL(9,BK8:BK13)</f>
        <v>0</v>
      </c>
      <c r="BL14" s="1198">
        <f>IF(ISNUMBER((I14-AB14+L14)/(F14)),(I14-AB14+L14)/(F14)," - ")</f>
        <v>-1.6428571428571428</v>
      </c>
      <c r="BM14" s="1203">
        <f>SUBTOTAL(9,BM9:BM13)</f>
        <v>4.7292715137238095E-2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660</v>
      </c>
      <c r="G17" s="743">
        <f>IF(ISNUMBER(IF(D_I="SI",Datos!I17,Datos!I17+Datos!AC17)),IF(D_I="SI",Datos!I17,Datos!I17+Datos!AC17)," - ")</f>
        <v>739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2716</v>
      </c>
      <c r="AC17" s="240">
        <f>IF(ISNUMBER(Datos!Q17),Datos!Q17," - ")</f>
        <v>86</v>
      </c>
      <c r="AD17" s="374"/>
      <c r="AE17" s="562"/>
      <c r="AF17" s="741">
        <f>IF(ISNUMBER(IF(D_I="SI",Datos!L17,Datos!L17+Datos!AF17)),IF(D_I="SI",Datos!L17,Datos!L17+Datos!AF17)," - ")</f>
        <v>954</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323</v>
      </c>
      <c r="BD17" s="243">
        <f>IF(ISNUMBER(Datos!N17),Datos!N17," - ")</f>
        <v>1598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0.9023255813953488</v>
      </c>
      <c r="BH17" s="764">
        <f>IF(ISNUMBER(((IF(D_I="SI",Datos!L17/Datos!K17,(Datos!L17+Datos!AF17)/(Datos!K17+Datos!AE17)))*11)/factor_trimestre),((IF(D_I="SI",Datos!L17/Datos!K17,(Datos!L17+Datos!AF17)/(Datos!K17+Datos!AE17)))*11)/factor_trimestre," - ")</f>
        <v>3.8637702503681881</v>
      </c>
      <c r="BI17" s="266">
        <f>IF(ISNUMBER('Resol  Asuntos'!D17/NºAsuntos!G17),'Resol  Asuntos'!D17/NºAsuntos!G17," - ")</f>
        <v>0.11892488954344624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191</v>
      </c>
      <c r="AC18" s="547">
        <f>IF(ISNUMBER(Datos!Q18),Datos!Q18," - ")</f>
        <v>1</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1.0324324324324323</v>
      </c>
      <c r="BH18" s="764">
        <f>IF(ISNUMBER(((IF(D_I="SI",Datos!L18/Datos!K18,(Datos!L18+Datos!AF18)/(Datos!K18+Datos!AE18)))*11)/factor_trimestre),((IF(D_I="SI",Datos!L18/Datos!K18,(Datos!L18+Datos!AF18)/(Datos!K18+Datos!AE18)))*11)/factor_trimestre," - ")</f>
        <v>2.3612565445026177</v>
      </c>
      <c r="BI18" s="763">
        <f>IF(ISNUMBER('Resol  Asuntos'!D18/NºAsuntos!G18),'Resol  Asuntos'!D18/NºAsuntos!G18," - ")</f>
        <v>0.13612565445026178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660</v>
      </c>
      <c r="G23" s="1197">
        <f>SUBTOTAL(9,G16:G22)</f>
        <v>786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2907</v>
      </c>
      <c r="AC23" s="1198">
        <f t="shared" si="5"/>
        <v>87</v>
      </c>
      <c r="AD23" s="1198">
        <f t="shared" si="5"/>
        <v>0</v>
      </c>
      <c r="AE23" s="1198">
        <f t="shared" si="5"/>
        <v>0</v>
      </c>
      <c r="AF23" s="1198">
        <f t="shared" si="5"/>
        <v>995</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349</v>
      </c>
      <c r="BD23" s="1198">
        <f t="shared" si="5"/>
        <v>1721</v>
      </c>
      <c r="BE23" s="1198">
        <f t="shared" si="5"/>
        <v>0</v>
      </c>
      <c r="BF23" s="1198">
        <f t="shared" si="5"/>
        <v>0</v>
      </c>
      <c r="BG23" s="1198">
        <f>IF(ISNUMBER(Datos!K23/Datos!J23),Datos!K23/Datos!J23," - ")</f>
        <v>0.90985915492957747</v>
      </c>
      <c r="BH23" s="1202">
        <f>IF(ISNUMBER(((Datos!L23/Datos!K23)*11)/factor_trimestre),((Datos!L23/Datos!K23)*11)/factor_trimestre," - ")</f>
        <v>3.7650498796009635</v>
      </c>
      <c r="BI23" s="1198">
        <f>SUBTOTAL(9,BI16:BI22)</f>
        <v>0.25505054399370802</v>
      </c>
      <c r="BJ23" s="1198">
        <f>SUBTOTAL(9,BJ16:BJ22)</f>
        <v>0</v>
      </c>
      <c r="BK23" s="1198">
        <f>SUBTOTAL(9,BK16:BK22)</f>
        <v>0</v>
      </c>
      <c r="BL23" s="1198">
        <f>IF(ISNUMBER((I23-AB23+L23)/(F23)),(I23-AB23+L23)/(F23)," - ")</f>
        <v>-4.4045454545454543</v>
      </c>
      <c r="BM23" s="1205">
        <f>IF(ISNUMBER((Datos!P23-Datos!Q23)/(Datos!R23-Datos!P23+Datos!Q23)),(Datos!P23-Datos!Q23)/(Datos!R23-Datos!P23+Datos!Q23)," - ")</f>
        <v>-1.2195121951219513E-2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674</v>
      </c>
      <c r="G31" s="1117">
        <f t="shared" si="18"/>
        <v>800</v>
      </c>
      <c r="H31" s="1119">
        <f t="shared" si="18"/>
        <v>0</v>
      </c>
      <c r="I31" s="1117">
        <f t="shared" si="18"/>
        <v>0</v>
      </c>
      <c r="J31" s="1119">
        <f t="shared" si="18"/>
        <v>0</v>
      </c>
      <c r="K31" s="1119">
        <f t="shared" si="18"/>
        <v>0</v>
      </c>
      <c r="L31" s="1180">
        <f t="shared" si="18"/>
        <v>0</v>
      </c>
      <c r="M31" s="1180">
        <f t="shared" si="18"/>
        <v>0</v>
      </c>
      <c r="N31" s="1180">
        <f t="shared" si="18"/>
        <v>373</v>
      </c>
      <c r="O31" s="1180">
        <f t="shared" si="18"/>
        <v>0</v>
      </c>
      <c r="P31" s="1180">
        <f t="shared" si="18"/>
        <v>0</v>
      </c>
      <c r="Q31" s="1119">
        <f t="shared" si="18"/>
        <v>877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2930</v>
      </c>
      <c r="AC31" s="1118">
        <f t="shared" si="19"/>
        <v>527</v>
      </c>
      <c r="AD31" s="1118">
        <f t="shared" si="19"/>
        <v>0</v>
      </c>
      <c r="AE31" s="1118">
        <f t="shared" si="19"/>
        <v>0</v>
      </c>
      <c r="AF31" s="1125">
        <f t="shared" si="19"/>
        <v>1008</v>
      </c>
      <c r="AG31" s="1125">
        <f t="shared" si="19"/>
        <v>0</v>
      </c>
      <c r="AH31" s="1125">
        <f t="shared" si="19"/>
        <v>163</v>
      </c>
      <c r="AI31" s="1125">
        <f t="shared" si="19"/>
        <v>0</v>
      </c>
      <c r="AJ31" s="1118">
        <f t="shared" si="19"/>
        <v>0</v>
      </c>
      <c r="AK31" s="1125">
        <f t="shared" si="19"/>
        <v>0</v>
      </c>
      <c r="AL31" s="1125">
        <f t="shared" si="19"/>
        <v>0</v>
      </c>
      <c r="AM31" s="1125">
        <f t="shared" si="19"/>
        <v>2990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1103</v>
      </c>
      <c r="BD31" s="1117">
        <f t="shared" si="19"/>
        <v>2696</v>
      </c>
      <c r="BE31" s="1117">
        <f t="shared" si="19"/>
        <v>0</v>
      </c>
      <c r="BF31" s="1127">
        <f t="shared" si="19"/>
        <v>0</v>
      </c>
      <c r="BG31" s="1223">
        <f>IF(ISNUMBER(Datos!K31/Datos!J31),Datos!K31/Datos!J31," - ")</f>
        <v>0.86186801071034813</v>
      </c>
      <c r="BH31" s="1223">
        <f>IF(ISNUMBER(((Datos!L31/Datos!K31)*11)/factor_trimestre),((Datos!L31/Datos!K31)*11)/factor_trimestre," - ")</f>
        <v>6.4689327485380108</v>
      </c>
      <c r="BI31" s="1103">
        <f>IF(ISNUMBER(Datos!J31/Datos!I31),Datos!J31/Datos!I31," - ")</f>
        <v>2.5777507105156312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-4.3471810089020773</v>
      </c>
      <c r="BM31" s="1188">
        <f>IF(ISNUMBER((Datos!P31-Datos!Q31+R31)/(Datos!R31-Datos!P31+Datos!Q31-R31)),(Datos!P31-Datos!Q31+R31)/(Datos!R31-Datos!P31+Datos!Q31-R31)," - ")</f>
        <v>0.13257575757575757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337.26586940671399</v>
      </c>
      <c r="G33" s="674">
        <f>IF(ISNUMBER(STDEV(G8:G30)),STDEV(G8:G30),"-")</f>
        <v>365.33174747657193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1351.4921911935498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324.95878859589919</v>
      </c>
      <c r="BD33" s="673"/>
      <c r="BE33" s="673">
        <f>IF(ISNUMBER(STDEV(BE8:BE30)),STDEV(BE8:BE30),"-")</f>
        <v>0</v>
      </c>
      <c r="BF33" s="678">
        <f>IF(ISNUMBER(STDEV(BF8:BF30)),STDEV(BF8:BF30),"-")</f>
        <v>0</v>
      </c>
      <c r="BG33" s="1052">
        <f>IF(ISNUMBER(STDEV(BG8:BG30)),STDEV(BG8:BG30),"-")</f>
        <v>0.10219945670095368</v>
      </c>
      <c r="BH33" s="1058">
        <f>IF(ISNUMBER(STDEV(BH8:BH30)),STDEV(BH8:BH30),"-")</f>
        <v>3.0107896594808738</v>
      </c>
      <c r="BI33" s="273">
        <f>IF(ISNUMBER(STDEV(BI8:BI30)),STDEV(BI8:BI30),"-")</f>
        <v>7.6424461033979152E-2</v>
      </c>
      <c r="BJ33" s="244" t="str">
        <f>IF(ISNUMBER(BL33/BM33),BL33/BM33," - ")</f>
        <v xml:space="preserve"> - </v>
      </c>
      <c r="BK33" s="709"/>
      <c r="BL33" s="681">
        <f>IF(ISNUMBER(STDEV(BL8:BL30)),STDEV(BL8:BL30),"-")</f>
        <v>1.952808532718433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v7ugg5Mtxw0XRYwhBVTTGMLCfTsxMVtUHql/bQHhVA09RNmwXf8XpG4lmfYvqwN4WaR2Q9qZpYppZ1s8UwLOA==" saltValue="M66ZGKyu9RWY7RESjZLg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BETANZOS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6</v>
      </c>
      <c r="AA10" s="551">
        <f>IF(ISNUMBER(Datos!L10),Datos!L10,"-")</f>
        <v>13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6.2173913043478253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434</v>
      </c>
      <c r="AA12" s="551" t="str">
        <f>IF(ISNUMBER(IF(J_V="SI",Datos!L12,Datos!L12+Datos!AB12)-IF(Monitorios="SI",Datos!CD12,0)),
                          IF(J_V="SI",Datos!L12,Datos!L12+Datos!AB12)-IF(Monitorios="SI",Datos!CD12,0),
                          " - ")</f>
        <v xml:space="preserve"> - </v>
      </c>
      <c r="AB12" s="549"/>
      <c r="AC12" s="549"/>
      <c r="AD12" s="563"/>
      <c r="AE12" s="563">
        <f>IF(ISNUMBER(Datos!R12),Datos!R12," - ")</f>
        <v>2899</v>
      </c>
      <c r="AF12" s="693" t="str">
        <f>IF(ISNUMBER(Datos!BV12),Datos!BV12," - ")</f>
        <v xml:space="preserve"> - </v>
      </c>
      <c r="AG12" s="552" t="str">
        <f>IF(ISNUMBER(Datos!DV12),Datos!DV12," - ")</f>
        <v xml:space="preserve"> - </v>
      </c>
      <c r="AH12" s="553"/>
      <c r="AI12" s="554"/>
      <c r="AJ12" s="552">
        <f>IF(ISNUMBER(Datos!M12),Datos!M12," - ")</f>
        <v>743</v>
      </c>
      <c r="AK12" s="693">
        <f>IF(ISNUMBER(Datos!N12),Datos!N12," - ")</f>
        <v>968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9.1911971830985912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0.13820180604632901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440</v>
      </c>
      <c r="AA14" s="1199">
        <f t="shared" si="3"/>
        <v>13</v>
      </c>
      <c r="AB14" s="1199">
        <f t="shared" si="3"/>
        <v>0</v>
      </c>
      <c r="AC14" s="1199">
        <f t="shared" si="3"/>
        <v>0</v>
      </c>
      <c r="AD14" s="1199">
        <f t="shared" si="3"/>
        <v>0</v>
      </c>
      <c r="AE14" s="1199">
        <f t="shared" si="3"/>
        <v>2909</v>
      </c>
      <c r="AF14" s="1211">
        <f t="shared" si="3"/>
        <v>0</v>
      </c>
      <c r="AG14" s="1211">
        <f t="shared" si="3"/>
        <v>0</v>
      </c>
      <c r="AH14" s="1211">
        <f t="shared" si="3"/>
        <v>0</v>
      </c>
      <c r="AI14" s="1211">
        <f t="shared" si="3"/>
        <v>0</v>
      </c>
      <c r="AJ14" s="1211">
        <f t="shared" si="3"/>
        <v>754</v>
      </c>
      <c r="AK14" s="1211">
        <f t="shared" si="3"/>
        <v>975</v>
      </c>
      <c r="AL14" s="1211">
        <f t="shared" si="3"/>
        <v>0</v>
      </c>
      <c r="AM14" s="1211">
        <f t="shared" si="3"/>
        <v>0</v>
      </c>
      <c r="AN14" s="1211">
        <f t="shared" si="3"/>
        <v>0</v>
      </c>
      <c r="AO14" s="1203">
        <f>IF(ISNUMBER(((NºAsuntos!I14/NºAsuntos!G14)*11)/factor_trimestre),((NºAsuntos!I14/NºAsuntos!G14)*11)/factor_trimestre," - ")</f>
        <v>9.1673070206077529</v>
      </c>
      <c r="AP14" s="1213" t="str">
        <f>IF(ISNUMBER(Datos!CI14/Datos!CJ14),Datos!CI14/Datos!CJ14," - ")</f>
        <v xml:space="preserve"> - </v>
      </c>
      <c r="AQ14" s="1236">
        <f t="shared" ref="AQ14:AV14" si="4">SUBTOTAL(9,AQ9:AQ13)</f>
        <v>0</v>
      </c>
      <c r="AR14" s="1236">
        <f t="shared" si="4"/>
        <v>4.7292715137238095E-2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660</v>
      </c>
      <c r="G17" s="552">
        <f>IF(ISNUMBER(IF(D_I="SI",Datos!I17,Datos!I17+Datos!AC17)),IF(D_I="SI",Datos!I17,Datos!I17+Datos!AC17)," - ")</f>
        <v>739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2716</v>
      </c>
      <c r="Z17" s="805">
        <f>IF(ISNUMBER(Datos!Q17),Datos!Q17," - ")</f>
        <v>86</v>
      </c>
      <c r="AA17" s="551">
        <f>IF(ISNUMBER(IF(D_I="SI",Datos!L17,Datos!L17+Datos!AF17)),IF(D_I="SI",Datos!L17,Datos!L17+Datos!AF17)," - ")</f>
        <v>954</v>
      </c>
      <c r="AB17" s="549"/>
      <c r="AC17" s="549"/>
      <c r="AD17" s="563"/>
      <c r="AE17" s="563">
        <f>IF(ISNUMBER(Datos!R17),Datos!R17," - ")</f>
        <v>81</v>
      </c>
      <c r="AF17" s="693" t="str">
        <f>IF(ISNUMBER(Datos!BV17),Datos!BV17," - ")</f>
        <v xml:space="preserve"> - </v>
      </c>
      <c r="AG17" s="552"/>
      <c r="AH17" s="553"/>
      <c r="AI17" s="554"/>
      <c r="AJ17" s="552">
        <f>IF(ISNUMBER(Datos!M17),Datos!M17," - ")</f>
        <v>323</v>
      </c>
      <c r="AK17" s="693">
        <f>IF(ISNUMBER(Datos!N17),Datos!N17," - ")</f>
        <v>1598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3.8637702503681881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191</v>
      </c>
      <c r="Z18" s="805">
        <f>IF(ISNUMBER(Datos!Q18),Datos!Q18," - ")</f>
        <v>1</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26</v>
      </c>
      <c r="AK18" s="693">
        <f>IF(ISNUMBER(Datos!N18),Datos!N18," - ")</f>
        <v>123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2.3612565445026177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660</v>
      </c>
      <c r="G23" s="1197">
        <f>SUBTOTAL(9,G16:G22)</f>
        <v>786</v>
      </c>
      <c r="H23" s="1240">
        <f>SUBTOTAL(9,H16:H22)</f>
        <v>0</v>
      </c>
      <c r="I23" s="1217">
        <f>SUBTOTAL(9,I16:I22)</f>
        <v>0</v>
      </c>
      <c r="J23" s="1164">
        <f>SUBTOTAL(9,J15:J22)</f>
        <v>0</v>
      </c>
      <c r="K23" s="1240">
        <f t="shared" ref="K23:S23" si="5">SUBTOTAL(9,K16:K22)</f>
        <v>0</v>
      </c>
      <c r="L23" s="1240">
        <f t="shared" si="5"/>
        <v>0</v>
      </c>
      <c r="M23" s="1240">
        <f t="shared" si="5"/>
        <v>0</v>
      </c>
      <c r="N23" s="1240">
        <f t="shared" si="5"/>
        <v>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2907</v>
      </c>
      <c r="Z23" s="1240">
        <f t="shared" si="6"/>
        <v>87</v>
      </c>
      <c r="AA23" s="1240">
        <f t="shared" si="6"/>
        <v>995</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349</v>
      </c>
      <c r="AK23" s="1240">
        <f t="shared" si="6"/>
        <v>1721</v>
      </c>
      <c r="AL23" s="1240">
        <f t="shared" si="6"/>
        <v>0</v>
      </c>
      <c r="AM23" s="1240">
        <f t="shared" si="6"/>
        <v>0</v>
      </c>
      <c r="AN23" s="1240">
        <f t="shared" si="6"/>
        <v>0</v>
      </c>
      <c r="AO23" s="1242">
        <f>IF(ISNUMBER(((NºAsuntos!I23/NºAsuntos!G23)*11)/factor_trimestre),((NºAsuntos!I23/NºAsuntos!G23)*11)/factor_trimestre," - ")</f>
        <v>3.7650498796009635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674</v>
      </c>
      <c r="G31" s="1117">
        <f t="shared" si="12"/>
        <v>800</v>
      </c>
      <c r="H31" s="1118">
        <f t="shared" si="12"/>
        <v>0</v>
      </c>
      <c r="I31" s="1117">
        <f t="shared" si="12"/>
        <v>0</v>
      </c>
      <c r="J31" s="1119">
        <f t="shared" si="12"/>
        <v>0</v>
      </c>
      <c r="K31" s="1117">
        <f t="shared" si="12"/>
        <v>0</v>
      </c>
      <c r="L31" s="1120">
        <f t="shared" si="12"/>
        <v>0</v>
      </c>
      <c r="M31" s="1117">
        <f t="shared" si="12"/>
        <v>0</v>
      </c>
      <c r="N31" s="1118">
        <f t="shared" si="12"/>
        <v>877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2930</v>
      </c>
      <c r="Z31" s="1124">
        <f t="shared" si="13"/>
        <v>527</v>
      </c>
      <c r="AA31" s="1125">
        <f t="shared" si="13"/>
        <v>1008</v>
      </c>
      <c r="AB31" s="1125">
        <f t="shared" si="13"/>
        <v>0</v>
      </c>
      <c r="AC31" s="1125">
        <f t="shared" si="13"/>
        <v>0</v>
      </c>
      <c r="AD31" s="1126">
        <f t="shared" si="13"/>
        <v>0</v>
      </c>
      <c r="AE31" s="1126">
        <f t="shared" si="13"/>
        <v>2990</v>
      </c>
      <c r="AF31" s="1127">
        <f t="shared" si="13"/>
        <v>0</v>
      </c>
      <c r="AG31" s="1128">
        <f t="shared" si="13"/>
        <v>0</v>
      </c>
      <c r="AH31" s="1129">
        <f t="shared" si="13"/>
        <v>0</v>
      </c>
      <c r="AI31" s="1127">
        <f t="shared" si="13"/>
        <v>0</v>
      </c>
      <c r="AJ31" s="1117">
        <f t="shared" si="13"/>
        <v>1103</v>
      </c>
      <c r="AK31" s="1117">
        <f t="shared" si="13"/>
        <v>2696</v>
      </c>
      <c r="AL31" s="1117">
        <f t="shared" si="13"/>
        <v>0</v>
      </c>
      <c r="AM31" s="1130">
        <f t="shared" si="13"/>
        <v>0</v>
      </c>
      <c r="AN31" s="1120">
        <f>IF(ISNUMBER(Datos!K31/Datos!J31),Datos!K31/Datos!J31," - ")</f>
        <v>0.86186801071034813</v>
      </c>
      <c r="AO31" s="1120">
        <f>IF(ISNUMBER(FIND("06",Criterios!A8,1)),(IF(ISNUMBER(((Datos!R31/Datos!Q31)*11)/factor_trimestre),((Datos!R31/Datos!Q31)*11)/factor_trimestre," - ")),(IF(ISNUMBER(((Datos!L31/Datos!K31)*11)/factor_trimestre),((Datos!L31/Datos!K31)*11)/factor_trimestre," - ")))</f>
        <v>6.4689327485380108</v>
      </c>
      <c r="AP31" s="1131" t="str">
        <f>IF(ISNUMBER(Datos!CI31/Datos!CJ31),Datos!CI31/Datos!CJ31," - ")</f>
        <v xml:space="preserve"> - </v>
      </c>
      <c r="AQ31" s="1131">
        <f>IF(OR(ISNUMBER(FIND("01",Criterios!A8,1)),ISNUMBER(FIND("02",Criterios!A8,1)),ISNUMBER(FIND("03",Criterios!A8,1)),ISNUMBER(FIND("04",Criterios!A8,1))),(J31-Y31+K31)/(F31-K31),(I31-Y31+K31)/(F31-K31))</f>
        <v>-4.3471810089020773</v>
      </c>
      <c r="AR31" s="1131">
        <f>IF(ISNUMBER((Datos!P31-Datos!Q31+O31)/(Datos!R31-Datos!P31+Datos!Q31-O31)),(Datos!P31-Datos!Q31+O31)/(Datos!R31-Datos!P31+Datos!Q31-O31)," - ")</f>
        <v>0.13257575757575757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337.26586940671399</v>
      </c>
      <c r="G33" s="674">
        <f>IF(ISNUMBER(STDEV(G8:G30)),STDEV(G8:G30),"-")</f>
        <v>365.33174747657193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324.95878859589919</v>
      </c>
      <c r="AK33" s="276"/>
      <c r="AL33" s="276">
        <f>IF(ISNUMBER(STDEV(AL8:AL30)),STDEV(AL8:AL30),"-")</f>
        <v>0</v>
      </c>
      <c r="AM33" s="278">
        <f>IF(ISNUMBER(STDEV(AM8:AM30)),STDEV(AM8:AM30),"-")</f>
        <v>0</v>
      </c>
      <c r="AN33" s="660">
        <f>IF(ISNUMBER(STDEV(AN8:AN30)),STDEV(AN8:AN30),"-")</f>
        <v>0</v>
      </c>
      <c r="AO33" s="661">
        <f>IF(ISNUMBER(STDEV(AO8:AO30)),STDEV(AO8:AO30),"-")</f>
        <v>2.9229788376018333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UdbHlYq+a6GmWaCFIN0SRD9GCuFgi+jOe1Srg3o+TdK5/RBJXFWpTVpKVTrW4m/JkR9Xl3mhmpTbgyTfJrP8w==" saltValue="5SIwE6+YIgEuP4s7MsMy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eTGyhpl/70sPyBc+nAk6BA8cdwRDGWOJqBFG+VURa3trqKb4pzV3aCxIce4FqoxljXMpZdZRNGNFDtaBKLoxw==" saltValue="SZK8+yq13DjnKeg7RnOE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uDIgWyk5XT2xkKgMgWnBP6L6FJlHNfLzdMnCNzbbvaSUXp8xBYx3A/bWI/ZtFjDFjmitrjUcUJkc9DiXcLdA==" saltValue="ZxaGDz+eeLa9iDlUZMVR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BETANZOS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0.26336011177086971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0.18622372092722908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2G5QjK6pbq8iCnB5Xo+5jUOI897EWkT550QEuTIMKiqO0FBMVk6OaxaUEC/BblIiEE32JzNqkCM69j1+qU4YgA==" saltValue="xKb26Q+ZZQcpej5v1XkW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0Vzb0qpMp1zYNlmHgndjYpzyZ5flqigY/dc0o0VJacFjXty7T0J+SvcEXlYT6/M6bCGM+CpWW0R/7S31SuzQ==" saltValue="d0EX56JJ/BOwc+IkTC1M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BETANZOS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22</v>
      </c>
      <c r="F10" s="452">
        <f>IF(ISNUMBER(E10/B10),E10/B10," - ")</f>
        <v>22</v>
      </c>
      <c r="G10" s="451">
        <f>IF(ISNUMBER(Datos!K10),Datos!K10," - ")</f>
        <v>23</v>
      </c>
      <c r="H10" s="452">
        <f>IF(ISNUMBER(G10/B10),G10/B10," - ")</f>
        <v>23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1751</v>
      </c>
      <c r="D12" s="452">
        <f>IF(ISNUMBER(C12/Datos!BH12),C12/Datos!BH12," - ")</f>
        <v>437.75</v>
      </c>
      <c r="E12" s="451">
        <f>IF(ISNUMBER(IF(J_V="SI",Datos!J12,Datos!J12+Datos!Z12)),IF(J_V="SI",Datos!J12,Datos!J12+Datos!Z12)," - ")</f>
        <v>3505</v>
      </c>
      <c r="F12" s="452">
        <f>IF(ISNUMBER(E12/B12),E12/B12," - ")</f>
        <v>876.25</v>
      </c>
      <c r="G12" s="451">
        <f>IF(ISNUMBER(IF(J_V="SI",Datos!K12,Datos!K12+Datos!AA12)),IF(J_V="SI",Datos!K12,Datos!K12+Datos!AA12)," - ")</f>
        <v>2840</v>
      </c>
      <c r="H12" s="452">
        <f>IF(ISNUMBER(G12/B12),G12/B12," - ")</f>
        <v>710</v>
      </c>
      <c r="I12" s="451">
        <f>IF(ISNUMBER(IF(J_V="SI",Datos!L12,Datos!L12+Datos!AB12)),IF(J_V="SI",Datos!L12,Datos!L12+Datos!AB12)," - ")</f>
        <v>2373</v>
      </c>
      <c r="J12" s="452">
        <f>IF(ISNUMBER(I12/B12),I12/B12," - ")</f>
        <v>593.25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1765</v>
      </c>
      <c r="D14" s="1147" t="str">
        <f>IF(ISNUMBER(C14/Datos!BI14),C14/Datos!BI14," - ")</f>
        <v xml:space="preserve"> - </v>
      </c>
      <c r="E14" s="1146">
        <f>SUBTOTAL(9,E8:E13)</f>
        <v>3527</v>
      </c>
      <c r="F14" s="1147">
        <f>IF(ISNUMBER(E14/B14),E14/B14," - ")</f>
        <v>881.75</v>
      </c>
      <c r="G14" s="1146">
        <f>SUBTOTAL(9,G8:G13)</f>
        <v>2863</v>
      </c>
      <c r="H14" s="1147">
        <f>IF(ISNUMBER(G14/B14),G14/B14," - ")</f>
        <v>715.75</v>
      </c>
      <c r="I14" s="1146">
        <f>SUBTOTAL(9,I8:I13)</f>
        <v>2386</v>
      </c>
      <c r="J14" s="1147">
        <f>IF(ISNUMBER(I14/B14),I14/B14," - ")</f>
        <v>596.5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739</v>
      </c>
      <c r="D17" s="452">
        <f>IF(ISNUMBER(C17/Datos!BH17),C17/Datos!BH17," - ")</f>
        <v>184.75</v>
      </c>
      <c r="E17" s="451">
        <f>IF(ISNUMBER(IF(D_I="SI",Datos!J17,Datos!J17+Datos!AD17)),IF(D_I="SI",Datos!J17,Datos!J17+Datos!AD17)," - ")</f>
        <v>3010</v>
      </c>
      <c r="F17" s="452">
        <f>IF(ISNUMBER(E17/B17),E17/B17," - ")</f>
        <v>752.5</v>
      </c>
      <c r="G17" s="451">
        <f>IF(ISNUMBER(IF(D_I="SI",Datos!K17,Datos!K17+Datos!AE17)),IF(D_I="SI",Datos!K17,Datos!K17+Datos!AE17)," - ")</f>
        <v>2716</v>
      </c>
      <c r="H17" s="452">
        <f>IF(ISNUMBER(G17/B17),G17/B17," - ")</f>
        <v>679</v>
      </c>
      <c r="I17" s="451">
        <f>IF(ISNUMBER(IF(D_I="SI",Datos!L17,Datos!L17+Datos!AF17)),IF(D_I="SI",Datos!L17,Datos!L17+Datos!AF17)," - ")</f>
        <v>954</v>
      </c>
      <c r="J17" s="452">
        <f>IF(ISNUMBER(I17/B17),I17/B17," - ")</f>
        <v>238.5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185</v>
      </c>
      <c r="F18" s="452">
        <f>IF(ISNUMBER(E18/B18),E18/B18," - ")</f>
        <v>185</v>
      </c>
      <c r="G18" s="451">
        <f>IF(ISNUMBER(IF(D_I="SI",Datos!K18,Datos!K18+Datos!AE18)),IF(D_I="SI",Datos!K18,Datos!K18+Datos!AE18)," - ")</f>
        <v>191</v>
      </c>
      <c r="H18" s="452">
        <f>IF(ISNUMBER(G18/B18),G18/B18," - ")</f>
        <v>191</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786</v>
      </c>
      <c r="D23" s="1147" t="str">
        <f>IF(ISNUMBER(C23/Datos!BI23),C23/Datos!BI23," - ")</f>
        <v xml:space="preserve"> - </v>
      </c>
      <c r="E23" s="1146">
        <f>SUBTOTAL(9,E15:E22)</f>
        <v>3195</v>
      </c>
      <c r="F23" s="1147">
        <f>IF(ISNUMBER(E23/B23),E23/B23," - ")</f>
        <v>798.75</v>
      </c>
      <c r="G23" s="1146">
        <f>SUBTOTAL(9,G15:G22)</f>
        <v>2907</v>
      </c>
      <c r="H23" s="1147">
        <f>IF(ISNUMBER(G23/B23),G23/B23," - ")</f>
        <v>726.75</v>
      </c>
      <c r="I23" s="1146">
        <f>SUBTOTAL(9,I15:I22)</f>
        <v>995</v>
      </c>
      <c r="J23" s="1147">
        <f>IF(ISNUMBER(I23/B23),I23/B23," - ")</f>
        <v>248.75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2551</v>
      </c>
      <c r="D31" s="1085" t="str">
        <f>IF(ISNUMBER(C31/Datos!BI31),C31/Datos!BI31," - ")</f>
        <v xml:space="preserve"> - </v>
      </c>
      <c r="E31" s="1084">
        <f>SUBTOTAL(9,E9:E30)</f>
        <v>6722</v>
      </c>
      <c r="F31" s="1085">
        <f>IF(ISNUMBER(E31/B31),E31/B31," - ")</f>
        <v>1680.5</v>
      </c>
      <c r="G31" s="1084">
        <f>SUBTOTAL(9,G9:G30)</f>
        <v>5770</v>
      </c>
      <c r="H31" s="1085">
        <f>IF(ISNUMBER(G31/B31),G31/B31," - ")</f>
        <v>1442.5</v>
      </c>
      <c r="I31" s="1084">
        <f>SUBTOTAL(9,I9:I30)</f>
        <v>3381</v>
      </c>
      <c r="J31" s="1085">
        <f>IF(ISNUMBER(I31/B31),I31/B31," - ")</f>
        <v>845.25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86dCnI9vZow/qC0sr0vWlgYgAj6vUCTPfND/INGm4WFTN4fnIx1zjGphZwbJKTJTFzeiVYaf6KkWjbevROG4xQ==" saltValue="4fC3rcfpW2udFi0ZBhu4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BETANZOS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6.2173913043478253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743</v>
      </c>
      <c r="AM12" s="914">
        <f>IF(ISNUMBER(Datos!N12+DatosP!N17),Datos!N12+DatosP!N17," - ")</f>
        <v>968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9.1911971830985912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0.13820180604632901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434</v>
      </c>
      <c r="AE14" s="1257">
        <f t="shared" si="1"/>
        <v>0</v>
      </c>
      <c r="AF14" s="1257">
        <f t="shared" si="1"/>
        <v>13</v>
      </c>
      <c r="AG14" s="1257">
        <f t="shared" si="1"/>
        <v>0</v>
      </c>
      <c r="AH14" s="1257">
        <f t="shared" si="1"/>
        <v>2899</v>
      </c>
      <c r="AI14" s="1257">
        <f t="shared" si="1"/>
        <v>0</v>
      </c>
      <c r="AJ14" s="1257">
        <f t="shared" si="1"/>
        <v>0</v>
      </c>
      <c r="AK14" s="1257">
        <f t="shared" si="1"/>
        <v>0</v>
      </c>
      <c r="AL14" s="1257">
        <f t="shared" si="1"/>
        <v>754</v>
      </c>
      <c r="AM14" s="1257">
        <f t="shared" si="1"/>
        <v>975</v>
      </c>
      <c r="AN14" s="1257">
        <f t="shared" si="1"/>
        <v>0</v>
      </c>
      <c r="AO14" s="1257">
        <f t="shared" si="1"/>
        <v>0</v>
      </c>
      <c r="AP14" s="1262">
        <f>IF(ISNUMBER(((Datos!L14/Datos!K14)*11)/factor_trimestre),((Datos!L14/Datos!K14)*11)/factor_trimestre," - ")</f>
        <v>9.5333333333333332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-1.6428571428571428</v>
      </c>
      <c r="AU14" s="1257" t="str">
        <f>IF(ISNUMBER((DatosP!#REF!-DatosP!#REF!+DatosP!#REF!)/(DatosP!#REF!+DatosP!#REF!-DatosP!#REF!-DatosP!#REF!)),(DatosP!#REF!-DatosP!#REF!+DatosP!#REF!)/(DatosP!#REF!+DatosP!#REF!-DatosP!#REF!-DatosP!#REF!)," - ")</f>
        <v xml:space="preserve"> - </v>
      </c>
      <c r="AV14" s="1263">
        <f>SUBTOTAL(9,AV9:AV13)</f>
        <v>0.13820180604632901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3.7650498796009635</v>
      </c>
      <c r="AQ23" s="1262">
        <f>IF(ISNUMBER(((Datos!M23/Datos!L23)*11)/factor_trimestre),((Datos!M23/Datos!L23)*11)/factor_trimestre," - ")</f>
        <v>3.8582914572864322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-1.2195121951219513E-2</v>
      </c>
      <c r="AW23" s="1265">
        <f>IF(ISNUMBER((Datos!Q23-Datos!R23)/(Datos!S23-Datos!Q23+Datos!R23)),(Datos!Q23-Datos!R23)/(Datos!S23-Datos!Q23+Datos!R23)," - ")</f>
        <v>5.5813953488372094E-3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434</v>
      </c>
      <c r="AE31" s="1284">
        <f t="shared" si="9"/>
        <v>0</v>
      </c>
      <c r="AF31" s="1285">
        <f t="shared" si="9"/>
        <v>13</v>
      </c>
      <c r="AG31" s="1285">
        <f t="shared" si="9"/>
        <v>0</v>
      </c>
      <c r="AH31" s="1285">
        <f t="shared" si="9"/>
        <v>2899</v>
      </c>
      <c r="AI31" s="1285">
        <f t="shared" si="9"/>
        <v>0</v>
      </c>
      <c r="AJ31" s="1286">
        <f t="shared" si="9"/>
        <v>0</v>
      </c>
      <c r="AK31" s="1286">
        <f t="shared" si="9"/>
        <v>0</v>
      </c>
      <c r="AL31" s="1278">
        <f t="shared" si="9"/>
        <v>754</v>
      </c>
      <c r="AM31" s="1278">
        <f t="shared" si="9"/>
        <v>975</v>
      </c>
      <c r="AN31" s="1278">
        <f t="shared" si="9"/>
        <v>0</v>
      </c>
      <c r="AO31" s="1278">
        <f t="shared" si="9"/>
        <v>0</v>
      </c>
      <c r="AP31" s="1278">
        <f>IF(ISNUMBER(((Datos!L31/Datos!K31)*11)/factor_trimestre),((Datos!L31/Datos!K31)*11)/factor_trimestre," - ")</f>
        <v>6.4689327485380108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-1.6428571428571428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0.13257575757575757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385.1429171965475</v>
      </c>
      <c r="AM33" s="1006"/>
      <c r="AN33" s="1006">
        <f>IF(ISNUMBER(STDEV(AN8:AN30)),STDEV(AN8:AN30),"-")</f>
        <v>0</v>
      </c>
      <c r="AO33" s="1012">
        <f>IF(ISNUMBER(STDEV(AO8:AO30)),STDEV(AO8:AO30),"-")</f>
        <v>0</v>
      </c>
      <c r="AP33" s="1065">
        <f>IF(ISNUMBER(STDEV(AP8:AP30)),STDEV(AP8:AP30),"-")</f>
        <v>2.7185504273841952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7fFYMCWlj1qLlBAX8l7VuNkSunBWwmkIcpRwMhxjs9xxvj+0EVQf1Y56KLTKt7PoCQUo1UVWjpiAdGnSxNlBQ==" saltValue="JZ4jqcPURMIhkFuqMfML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BETANZOS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vijTKvEdJ+4XfMHgL+IAsUWlVRbSpQ4OWCbOpJo//yLe+YZlQgRremodj0ISqi2cApdMXKlr23LCIyzU775WQ==" saltValue="iPpdX+W5CJ6FLAldpv0M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BETANZOS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7</v>
      </c>
      <c r="G10" s="452">
        <f>IF(ISNUMBER(F10/B10),F10/B10," - ")</f>
        <v>7</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743</v>
      </c>
      <c r="E12" s="452">
        <f t="shared" si="0"/>
        <v>185.75</v>
      </c>
      <c r="F12" s="451">
        <f>IF(ISNUMBER(Datos!N12),Datos!N12," - ")</f>
        <v>968</v>
      </c>
      <c r="G12" s="452">
        <f t="shared" si="1"/>
        <v>242</v>
      </c>
      <c r="H12" s="451">
        <f>IF(ISNUMBER(Datos!O12),Datos!O12," - ")</f>
        <v>1035</v>
      </c>
      <c r="I12" s="452">
        <f t="shared" si="2"/>
        <v>258.75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754</v>
      </c>
      <c r="E14" s="1147">
        <f t="shared" si="0"/>
        <v>150.80000000000001</v>
      </c>
      <c r="F14" s="1146">
        <f>SUBTOTAL(9,F9:F13)</f>
        <v>975</v>
      </c>
      <c r="G14" s="1147">
        <f t="shared" si="1"/>
        <v>195</v>
      </c>
      <c r="H14" s="1146">
        <f>SUBTOTAL(9,H9:H13)</f>
        <v>1042</v>
      </c>
      <c r="I14" s="1147">
        <f>IF(ISNUMBER(H14/B14),H14/B14," - ")</f>
        <v>208.4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323</v>
      </c>
      <c r="E17" s="452">
        <f t="shared" si="3"/>
        <v>80.75</v>
      </c>
      <c r="F17" s="451">
        <f>IF(ISNUMBER(Datos!N17),Datos!N17," - ")</f>
        <v>1598</v>
      </c>
      <c r="G17" s="452">
        <f t="shared" si="4"/>
        <v>399.5</v>
      </c>
      <c r="H17" s="451">
        <f>IF(ISNUMBER(Datos!O17),Datos!O17," - ")</f>
        <v>41</v>
      </c>
      <c r="I17" s="452">
        <f t="shared" si="5"/>
        <v>10.25</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123</v>
      </c>
      <c r="G18" s="452">
        <f>IF(ISNUMBER(F18/B18),F18/B18," - ")</f>
        <v>123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349</v>
      </c>
      <c r="E23" s="1147">
        <f t="shared" si="3"/>
        <v>69.8</v>
      </c>
      <c r="F23" s="1146">
        <f>SUBTOTAL(9,F16:F22)</f>
        <v>1721</v>
      </c>
      <c r="G23" s="1147">
        <f t="shared" si="4"/>
        <v>344.2</v>
      </c>
      <c r="H23" s="1146">
        <f>SUBTOTAL(9,H16:H22)</f>
        <v>42</v>
      </c>
      <c r="I23" s="1147">
        <f>IF(ISNUMBER(H23/B23),H23/B23," - ")</f>
        <v>8.4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1103</v>
      </c>
      <c r="E31" s="1085">
        <f>IF(ISNUMBER(D31/B31),D31/B31," - ")</f>
        <v>275.75</v>
      </c>
      <c r="F31" s="1084">
        <f>SUBTOTAL(9,F8:F30)</f>
        <v>2696</v>
      </c>
      <c r="G31" s="1085">
        <f>IF(ISNUMBER(F31/B31),F31/B31," - ")</f>
        <v>674</v>
      </c>
      <c r="H31" s="1084">
        <f>SUBTOTAL(9,H8:H30)</f>
        <v>1084</v>
      </c>
      <c r="I31" s="1085">
        <f>IF(ISNUMBER(H31/B31),H31/B31," - ")</f>
        <v>271</v>
      </c>
    </row>
    <row r="34" spans="1:1">
      <c r="A34" s="439" t="str">
        <f>Criterios!A4</f>
        <v>Fecha Informe: 14 abr. 2023</v>
      </c>
    </row>
    <row r="39" spans="1:1">
      <c r="A39" s="462"/>
    </row>
  </sheetData>
  <sheetProtection algorithmName="SHA-512" hashValue="6K+vP2d0LqcUtCEdAc9pJ83a0FJgHKJp9S6DQjEVz0JDhdwVX949NssWbQpMglX6F1wOm1OUVRAyT2qT2ZvO5Q==" saltValue="7mM1vr82BcUBWSWPG5Uq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BETANZOS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6</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786</v>
      </c>
      <c r="C12" s="489">
        <f>IF(ISNUMBER(Datos!Q12),Datos!Q12," - ")</f>
        <v>434</v>
      </c>
      <c r="D12" s="456">
        <f>IF(ISNUMBER(Datos!R12),Datos!R12," - ")</f>
        <v>2899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791</v>
      </c>
      <c r="C14" s="1150">
        <f>SUBTOTAL(9,C9:C13)</f>
        <v>440</v>
      </c>
      <c r="D14" s="1148">
        <f>SUBTOTAL(9,D9:D13)</f>
        <v>2909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86</v>
      </c>
      <c r="D17" s="456">
        <f>IF(ISNUMBER(Datos!R17),Datos!R17," - ")</f>
        <v>81</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v>
      </c>
      <c r="C23" s="1150">
        <f>SUBTOTAL(9,C16:C22)</f>
        <v>87</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877</v>
      </c>
      <c r="C31" s="1089">
        <f>SUBTOTAL(9,C8:C30)</f>
        <v>527</v>
      </c>
      <c r="D31" s="1090">
        <f>SUBTOTAL(9,D8:D30)</f>
        <v>2990</v>
      </c>
    </row>
    <row r="32" spans="1:4" ht="7.5" customHeight="1"/>
    <row r="33" spans="1:1" ht="6" customHeight="1"/>
    <row r="34" spans="1:1">
      <c r="A34" s="439" t="str">
        <f>Criterios!A4</f>
        <v>Fecha Informe: 14 abr. 2023</v>
      </c>
    </row>
    <row r="39" spans="1:1">
      <c r="A39" s="462"/>
    </row>
  </sheetData>
  <sheetProtection algorithmName="SHA-512" hashValue="LMBhERamSJWeJiLquXdPZxV7DrqWJQXvTm7IfZ+MY6fAzjoLLiFGtukjPOQ5Yna90kj4DRfl+XSM7znKBMaHXQ==" saltValue="GCt97IIAAd6oq7A/aG1a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BETANZOS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-0.12</v>
      </c>
      <c r="D10" s="515">
        <f>IF(ISNUMBER((Datos!K10-Datos!U10)/Datos!U10),(Datos!K10-Datos!U10)/Datos!U10," - ")</f>
        <v>-0.11538461538461539</v>
      </c>
      <c r="E10" s="515">
        <f>IF(ISNUMBER((Datos!L10-Datos!V10)/Datos!V10),(Datos!L10-Datos!V10)/Datos!V10," - ")</f>
        <v>-7.1428571428571425E-2</v>
      </c>
      <c r="F10" s="515">
        <f>IF(ISNUMBER((Datos!M10-Datos!W10)/Datos!W10),(Datos!M10-Datos!W10)/Datos!W10," - ")</f>
        <v>-0.35294117647058826</v>
      </c>
      <c r="G10" s="516">
        <f>IF(ISNUMBER((Datos!N10-Datos!X10)/Datos!X10),(Datos!N10-Datos!X10)/Datos!X10," - ")</f>
        <v>0.75</v>
      </c>
      <c r="H10" s="514">
        <f>IF(ISNUMBER(((NºAsuntos!G10/NºAsuntos!E10)-Datos!BD10)/Datos!BD10),((NºAsuntos!G10/NºAsuntos!E10)-Datos!BD10)/Datos!BD10," - ")</f>
        <v>5.2447552447551712E-3</v>
      </c>
      <c r="I10" s="515">
        <f>IF(ISNUMBER(((NºAsuntos!I10/NºAsuntos!G10)-Datos!BE10)/Datos!BE10),((NºAsuntos!I10/NºAsuntos!G10)-Datos!BE10)/Datos!BE10," - ")</f>
        <v>4.9689440993788789E-2</v>
      </c>
      <c r="J10" s="521">
        <f>IF(ISNUMBER((('Resol  Asuntos'!D10/NºAsuntos!G10)-Datos!BF10)/Datos!BF10),(('Resol  Asuntos'!D10/NºAsuntos!G10)-Datos!BF10)/Datos!BF10," - ")</f>
        <v>-0.26854219948849106</v>
      </c>
      <c r="K10" s="522">
        <f>IF(ISNUMBER((((NºAsuntos!C10+NºAsuntos!E10)/NºAsuntos!G10)-Datos!BG10)/Datos!BG10),(((NºAsuntos!C10+NºAsuntos!E10)/NºAsuntos!G10)-Datos!BG10)/Datos!BG10," - ")</f>
        <v>1.7391304347826073E-2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-2.2879464285714284E-2</v>
      </c>
      <c r="C12" s="515">
        <f>IF(ISNUMBER(
   IF(J_V="SI",(Datos!J12-Datos!T12)/Datos!T12,(Datos!J12+Datos!Z12-(Datos!T12+Datos!AH12))/(Datos!T12+Datos!AH12))
     ),IF(J_V="SI",(Datos!J12-Datos!T12)/Datos!T12,(Datos!J12+Datos!Z12-(Datos!T12+Datos!AH12))/(Datos!T12+Datos!AH12))," - ")</f>
        <v>0.1155315085932527</v>
      </c>
      <c r="D12" s="515">
        <f>IF(ISNUMBER(
   IF(J_V="SI",(Datos!K12-Datos!U12)/Datos!U12,(Datos!K12+Datos!AA12-(Datos!U12+Datos!AI12))/(Datos!U12+Datos!AI12))
     ),IF(J_V="SI",(Datos!K12-Datos!U12)/Datos!U12,(Datos!K12+Datos!AA12-(Datos!U12+Datos!AI12))/(Datos!U12+Datos!AI12))," - ")</f>
        <v>-8.387096774193549E-2</v>
      </c>
      <c r="E12" s="515">
        <f>IF(ISNUMBER(
   IF(J_V="SI",(Datos!L12-Datos!V12)/Datos!V12,(Datos!L12+Datos!AB12-(Datos!V12+Datos!AJ12))/(Datos!V12+Datos!AJ12))
     ),IF(J_V="SI",(Datos!L12-Datos!V12)/Datos!V12,(Datos!L12+Datos!AB12-(Datos!V12+Datos!AJ12))/(Datos!V12+Datos!AJ12))," - ")</f>
        <v>0.35522558537978299</v>
      </c>
      <c r="F12" s="515">
        <f>IF(ISNUMBER((Datos!M12-Datos!W12)/Datos!W12),(Datos!M12-Datos!W12)/Datos!W12," - ")</f>
        <v>7.2150072150072145E-2</v>
      </c>
      <c r="G12" s="516">
        <f>IF(ISNUMBER((Datos!N12-Datos!X12)/Datos!X12),(Datos!N12-Datos!X12)/Datos!X12," - ")</f>
        <v>-0.1111111111111111</v>
      </c>
      <c r="H12" s="514">
        <f>IF(ISNUMBER(((NºAsuntos!G12/NºAsuntos!E12)-Datos!BD12)/Datos!BD12),((NºAsuntos!G12/NºAsuntos!E12)-Datos!BD12)/Datos!BD12," - ")</f>
        <v>-0.17875109290874797</v>
      </c>
      <c r="I12" s="515">
        <f>IF(ISNUMBER(((NºAsuntos!I12/NºAsuntos!G12)-Datos!BE12)/Datos!BE12),((NºAsuntos!I12/NºAsuntos!G12)-Datos!BE12)/Datos!BE12," - ")</f>
        <v>0.47929553333708719</v>
      </c>
      <c r="J12" s="521">
        <f>IF(ISNUMBER((('Resol  Asuntos'!D12/NºAsuntos!G12)-Datos!BF12)/Datos!BF12),(('Resol  Asuntos'!D12/NºAsuntos!G12)-Datos!BF12)/Datos!BF12," - ")</f>
        <v>-0.25526067331445063</v>
      </c>
      <c r="K12" s="522">
        <f>IF(ISNUMBER((((NºAsuntos!C12+NºAsuntos!E12)/NºAsuntos!G12)-Datos!BG12)/Datos!BG12),(((NºAsuntos!C12+NºAsuntos!E12)/NºAsuntos!G12)-Datos!BG12)/Datos!BG12," - ")</f>
        <v>0.16278538682439186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-2.3242944106253459E-2</v>
      </c>
      <c r="C14" s="1152">
        <f>IF(ISNUMBER(
   IF(J_V="SI",(Datos!J14-Datos!T14)/Datos!T14,(Datos!J14+Datos!Z14-(Datos!T14+Datos!AH14))/(Datos!T14+Datos!AH14))
     ),IF(J_V="SI",(Datos!J14-Datos!T14)/Datos!T14,(Datos!J14+Datos!Z14-(Datos!T14+Datos!AH14))/(Datos!T14+Datos!AH14))," - ")</f>
        <v>0.11367224502683929</v>
      </c>
      <c r="D14" s="1152">
        <f>IF(ISNUMBER(
   IF(J_V="SI",(Datos!K14-Datos!U14)/Datos!U14,(Datos!K14+Datos!AA14-(Datos!U14+Datos!AI14))/(Datos!U14+Datos!AI14))
     ),IF(J_V="SI",(Datos!K14-Datos!U14)/Datos!U14,(Datos!K14+Datos!AA14-(Datos!U14+Datos!AI14))/(Datos!U14+Datos!AI14))," - ")</f>
        <v>-8.4133077415227131E-2</v>
      </c>
      <c r="E14" s="1152">
        <f>IF(ISNUMBER(
   IF(J_V="SI",(Datos!L14-Datos!V14)/Datos!V14,(Datos!L14+Datos!AB14-(Datos!V14+Datos!AJ14))/(Datos!V14+Datos!AJ14))
     ),IF(J_V="SI",(Datos!L14-Datos!V14)/Datos!V14,(Datos!L14+Datos!AB14-(Datos!V14+Datos!AJ14))/(Datos!V14+Datos!AJ14))," - ")</f>
        <v>0.35184135977337111</v>
      </c>
      <c r="F14" s="1153">
        <f>IF(ISNUMBER((Datos!M14-Datos!W14)/Datos!W14),(Datos!M14-Datos!W14)/Datos!W14," - ")</f>
        <v>6.1971830985915494E-2</v>
      </c>
      <c r="G14" s="1154">
        <f>IF(ISNUMBER((Datos!N14-Datos!X14)/Datos!X14),(Datos!N14-Datos!X14)/Datos!X14," - ")</f>
        <v>-0.10795974382433669</v>
      </c>
      <c r="H14" s="1154">
        <f>IF(ISNUMBER(((NºAsuntos!G14/NºAsuntos!E14)-Datos!BD14)/Datos!BD14),((NºAsuntos!G14/NºAsuntos!E14)-Datos!BD14)/Datos!BD14," - ")</f>
        <v>-0.1776153830944214</v>
      </c>
      <c r="I14" s="1154">
        <f>IF(ISNUMBER(((NºAsuntos!I14/NºAsuntos!G14)-Datos!BE14)/Datos!BE14),((NºAsuntos!I14/NºAsuntos!G14)-Datos!BE14)/Datos!BE14," - ")</f>
        <v>0.47602378297295067</v>
      </c>
      <c r="J14" s="1154">
        <f>IF(ISNUMBER((('Resol  Asuntos'!D14/NºAsuntos!G14)-Datos!BF14)/Datos!BF14),(('Resol  Asuntos'!D14/NºAsuntos!G14)-Datos!BF14)/Datos!BF14," - ")</f>
        <v>-0.25563859909969372</v>
      </c>
      <c r="K14" s="1154">
        <f>IF(ISNUMBER((((NºAsuntos!C14+NºAsuntos!E14)/NºAsuntos!G14)-Datos!BG14)/Datos!BG14),(((NºAsuntos!C14+NºAsuntos!E14)/NºAsuntos!G14)-Datos!BG14)/Datos!BG14," - ")</f>
        <v>0.16166707465618288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-0.2704837117472853</v>
      </c>
      <c r="C17" s="515">
        <f>IF(ISNUMBER(
   IF(D_I="SI",(Datos!J17-Datos!T17)/Datos!T17,(Datos!J17+Datos!AD17-(Datos!T17+Datos!AL17))/(Datos!T17+Datos!AL17))
     ),IF(D_I="SI",(Datos!J17-Datos!T17)/Datos!T17,(Datos!J17+Datos!AD17-(Datos!T17+Datos!AL17))/(Datos!T17+Datos!AL17))," - ")</f>
        <v>0.2407254740313273</v>
      </c>
      <c r="D17" s="515">
        <f>IF(ISNUMBER(
   IF(D_I="SI",(Datos!K17-Datos!U17)/Datos!U17,(Datos!K17+Datos!AE17-(Datos!U17+Datos!AM17))/(Datos!U17+Datos!AM17))
     ),IF(D_I="SI",(Datos!K17-Datos!U17)/Datos!U17,(Datos!K17+Datos!AE17-(Datos!U17+Datos!AM17))/(Datos!U17+Datos!AM17))," - ")</f>
        <v>2.8009084027252083E-2</v>
      </c>
      <c r="E17" s="515">
        <f>IF(ISNUMBER(
   IF(D_I="SI",(Datos!L17-Datos!V17)/Datos!V17,(Datos!L17+Datos!AF17-(Datos!V17+Datos!AN17))/(Datos!V17+Datos!AN17))
     ),IF(D_I="SI",(Datos!L17-Datos!V17)/Datos!V17,(Datos!L17+Datos!AF17-(Datos!V17+Datos!AN17))/(Datos!V17+Datos!AN17))," - ")</f>
        <v>0.29093369418132614</v>
      </c>
      <c r="F17" s="515">
        <f>IF(ISNUMBER((Datos!M17-Datos!W17)/Datos!W17),(Datos!M17-Datos!W17)/Datos!W17," - ")</f>
        <v>-6.6473988439306353E-2</v>
      </c>
      <c r="G17" s="516">
        <f>IF(ISNUMBER((Datos!N17-Datos!X17)/Datos!X17),(Datos!N17-Datos!X17)/Datos!X17," - ")</f>
        <v>2.4358974358974359E-2</v>
      </c>
      <c r="H17" s="514">
        <f>IF(ISNUMBER(((NºAsuntos!G17/NºAsuntos!E17)-Datos!BD17)/Datos!BD17),((NºAsuntos!G17/NºAsuntos!E17)-Datos!BD17)/Datos!BD17," - ")</f>
        <v>-0.17144517014946395</v>
      </c>
      <c r="I17" s="515">
        <f>IF(ISNUMBER(((NºAsuntos!I17/NºAsuntos!G17)-Datos!BE17)/Datos!BE17),((NºAsuntos!I17/NºAsuntos!G17)-Datos!BE17)/Datos!BE17," - ")</f>
        <v>0.25576097939140763</v>
      </c>
      <c r="J17" s="521">
        <f>IF(ISNUMBER((('Resol  Asuntos'!D17/NºAsuntos!G17)-Datos!BF17)/Datos!BF17),(('Resol  Asuntos'!D17/NºAsuntos!G17)-Datos!BF17)/Datos!BF17," - ")</f>
        <v>-9.1908791405245799E-2</v>
      </c>
      <c r="K17" s="522">
        <f>IF(ISNUMBER((((NºAsuntos!C17+NºAsuntos!E17)/NºAsuntos!G17)-Datos!BG17)/Datos!BG17),(((NºAsuntos!C17+NºAsuntos!E17)/NºAsuntos!G17)-Datos!BG17)/Datos!BG17," - ")</f>
        <v>6.0440515767975413E-2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-0.30882352941176472</v>
      </c>
      <c r="C18" s="515">
        <f>IF(ISNUMBER(
   IF(D_I="SI",(Datos!J18-Datos!T18)/Datos!T18,(Datos!J18+Datos!AD18-(Datos!T18+Datos!AL18))/(Datos!T18+Datos!AL18))
     ),IF(D_I="SI",(Datos!J18-Datos!T18)/Datos!T18,(Datos!J18+Datos!AD18-(Datos!T18+Datos!AL18))/(Datos!T18+Datos!AL18))," - ")</f>
        <v>0.10778443113772455</v>
      </c>
      <c r="D18" s="515">
        <f>IF(ISNUMBER(
   IF(D_I="SI",(Datos!K18-Datos!U18)/Datos!U18,(Datos!K18+Datos!AE18-(Datos!U18+Datos!AM18))/(Datos!U18+Datos!AM18))
     ),IF(D_I="SI",(Datos!K18-Datos!U18)/Datos!U18,(Datos!K18+Datos!AE18-(Datos!U18+Datos!AM18))/(Datos!U18+Datos!AM18))," - ")</f>
        <v>1.5957446808510637E-2</v>
      </c>
      <c r="E18" s="515">
        <f>IF(ISNUMBER(
   IF(D_I="SI",(Datos!L18-Datos!V18)/Datos!V18,(Datos!L18+Datos!AF18-(Datos!V18+Datos!AN18))/(Datos!V18+Datos!AN18))
     ),IF(D_I="SI",(Datos!L18-Datos!V18)/Datos!V18,(Datos!L18+Datos!AF18-(Datos!V18+Datos!AN18))/(Datos!V18+Datos!AN18))," - ")</f>
        <v>-0.1276595744680851</v>
      </c>
      <c r="F18" s="515">
        <f>IF(ISNUMBER((Datos!M18-Datos!W18)/Datos!W18),(Datos!M18-Datos!W18)/Datos!W18," - ")</f>
        <v>0</v>
      </c>
      <c r="G18" s="516">
        <f>IF(ISNUMBER((Datos!N18-Datos!X18)/Datos!X18),(Datos!N18-Datos!X18)/Datos!X18," - ")</f>
        <v>0.4642857142857143</v>
      </c>
      <c r="H18" s="514">
        <f>IF(ISNUMBER(((NºAsuntos!G18/NºAsuntos!E18)-Datos!BD18)/Datos!BD18),((NºAsuntos!G18/NºAsuntos!E18)-Datos!BD18)/Datos!BD18," - ")</f>
        <v>-8.2892466935020212E-2</v>
      </c>
      <c r="I18" s="515">
        <f>IF(ISNUMBER(((NºAsuntos!I18/NºAsuntos!G18)-Datos!BE18)/Datos!BE18),((NºAsuntos!I18/NºAsuntos!G18)-Datos!BE18)/Datos!BE18," - ")</f>
        <v>-0.1413612565445026</v>
      </c>
      <c r="J18" s="521">
        <f>IF(ISNUMBER((('Resol  Asuntos'!D18/NºAsuntos!G18)-Datos!BF18)/Datos!BF18),(('Resol  Asuntos'!D18/NºAsuntos!G18)-Datos!BF18)/Datos!BF18," - ")</f>
        <v>-1.5706806282722516E-2</v>
      </c>
      <c r="K18" s="522">
        <f>IF(ISNUMBER((((NºAsuntos!C18+NºAsuntos!E18)/NºAsuntos!G18)-Datos!BG18)/Datos!BG18),(((NºAsuntos!C18+NºAsuntos!E18)/NºAsuntos!G18)-Datos!BG18)/Datos!BG18," - ")</f>
        <v>-2.8272251308900563E-2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-0.27289546716003699</v>
      </c>
      <c r="C23" s="1152">
        <f>IF(ISNUMBER(
   IF(Criterios!B14="SI",(Datos!J23-Datos!T23)/Datos!T23,(Datos!J23+Datos!AD23-(Datos!T23+Datos!AL23))/(Datos!T23+Datos!AL23))
     ),IF(Criterios!B14="SI",(Datos!J23-Datos!T23)/Datos!T23,(Datos!J23+Datos!AD23-(Datos!T23+Datos!AL23))/(Datos!T23+Datos!AL23))," - ")</f>
        <v>0.23216351716158889</v>
      </c>
      <c r="D23" s="1152">
        <f>IF(ISNUMBER(
   IF(Criterios!B14="SI",(Datos!K23-Datos!U23)/Datos!U23,(Datos!K23+Datos!AE23-(Datos!U23+Datos!AM23))/(Datos!U23+Datos!AM23))
     ),IF(Criterios!B14="SI",(Datos!K23-Datos!U23)/Datos!U23,(Datos!K23+Datos!AE23-(Datos!U23+Datos!AM23))/(Datos!U23+Datos!AM23))," - ")</f>
        <v>2.7208480565371024E-2</v>
      </c>
      <c r="E23" s="1152">
        <f>IF(ISNUMBER(
   IF(Criterios!B14="SI",(Datos!L23-Datos!V23)/Datos!V23,(Datos!L23+Datos!AF23-(Datos!V23+Datos!AN23))/(Datos!V23+Datos!AN23))
     ),IF(Criterios!B14="SI",(Datos!L23-Datos!V23)/Datos!V23,(Datos!L23+Datos!AF23-(Datos!V23+Datos!AN23))/(Datos!V23+Datos!AN23))," - ")</f>
        <v>0.26590330788804073</v>
      </c>
      <c r="F23" s="1153">
        <f>IF(ISNUMBER((Datos!M23-Datos!W23)/Datos!W23),(Datos!M23-Datos!W23)/Datos!W23," - ")</f>
        <v>-6.1827956989247312E-2</v>
      </c>
      <c r="G23" s="1154">
        <f>IF(ISNUMBER((Datos!N23-Datos!X23)/Datos!X23),(Datos!N23-Datos!X23)/Datos!X23," - ")</f>
        <v>4.6836982968369828E-2</v>
      </c>
      <c r="H23" s="1154">
        <f>IF(ISNUMBER(((NºAsuntos!G23/NºAsuntos!E23)-Datos!BD23)/Datos!BD23),((NºAsuntos!G23/NºAsuntos!E23)-Datos!BD23)/Datos!BD23," - ")</f>
        <v>-0.16633753048325292</v>
      </c>
      <c r="I23" s="1154">
        <f>IF(ISNUMBER(((NºAsuntos!I23/NºAsuntos!G23)-Datos!BE23)/Datos!BE23),((NºAsuntos!I23/NºAsuntos!G23)-Datos!BE23)/Datos!BE23," - ")</f>
        <v>0.23237232931653087</v>
      </c>
      <c r="J23" s="1154">
        <f>IF(ISNUMBER((('Resol  Asuntos'!D23/NºAsuntos!G23)-Datos!BF23)/Datos!BF23),(('Resol  Asuntos'!D23/NºAsuntos!G23)-Datos!BF23)/Datos!BF23," - ")</f>
        <v>-8.6678059263697926E-2</v>
      </c>
      <c r="K23" s="1154">
        <f>IF(ISNUMBER((((NºAsuntos!C23+NºAsuntos!E23)/NºAsuntos!G23)-Datos!BG23)/Datos!BG23),(((NºAsuntos!C23+NºAsuntos!E23)/NºAsuntos!G23)-Datos!BG23)/Datos!BG23," - ")</f>
        <v>5.4859040713956225E-2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-0.11668975069252077</v>
      </c>
      <c r="C31" s="1092">
        <f>IF(ISNUMBER(
   IF(J_V="SI",(Datos!J31-Datos!T31)/Datos!T31,(Datos!J31+Datos!Z31-(Datos!T31+Datos!AH31))/(Datos!T31+Datos!AH31))
     ),IF(J_V="SI",(Datos!J31-Datos!T31)/Datos!T31,(Datos!J31+Datos!Z31-(Datos!T31+Datos!AH31))/(Datos!T31+Datos!AH31))," - ")</f>
        <v>0.16701388888888888</v>
      </c>
      <c r="D31" s="1092">
        <f>IF(ISNUMBER(
   IF(J_V="SI",(Datos!K31-Datos!U31)/Datos!U31,(Datos!K31+Datos!AA31-(Datos!U31+Datos!AI31))/(Datos!U31+Datos!AI31))
     ),IF(J_V="SI",(Datos!K31-Datos!U31)/Datos!U31,(Datos!K31+Datos!AA31-(Datos!U31+Datos!AI31))/(Datos!U31+Datos!AI31))," - ")</f>
        <v>-3.1229012760241773E-2</v>
      </c>
      <c r="E31" s="1092">
        <f>IF(ISNUMBER(
   IF(J_V="SI",(Datos!L31-Datos!V31)/Datos!V31,(Datos!L31+Datos!AB31-(Datos!V31+Datos!AJ31))/(Datos!V31+Datos!AJ31))
     ),IF(J_V="SI",(Datos!L31-Datos!V31)/Datos!V31,(Datos!L31+Datos!AB31-(Datos!V31+Datos!AJ31))/(Datos!V31+Datos!AJ31))," - ")</f>
        <v>0.32536260290082319</v>
      </c>
      <c r="F31" s="1093">
        <f>IF(ISNUMBER((Datos!M31-Datos!W31)/Datos!W31),(Datos!M31-Datos!W31)/Datos!W31," - ")</f>
        <v>1.9408502772643253E-2</v>
      </c>
      <c r="G31" s="1094">
        <f>IF(ISNUMBER((Datos!N31-Datos!X31)/Datos!X31),(Datos!N31-Datos!X31)/Datos!X31," - ")</f>
        <v>-1.4979905005480453E-2</v>
      </c>
      <c r="H31" s="1095">
        <f>IF(ISNUMBER((Tasas!B31-Datos!BD31)/Datos!BD31),(Tasas!B31-Datos!BD31)/Datos!BD31," - ")</f>
        <v>-0.16987193000580078</v>
      </c>
      <c r="I31" s="1096">
        <f>IF(ISNUMBER((Tasas!C31-Datos!BE31)/Datos!BE31),(Tasas!C31-Datos!BE31)/Datos!BE31," - ")</f>
        <v>0.36808659668584109</v>
      </c>
      <c r="J31" s="1097">
        <f>IF(ISNUMBER((Tasas!D31-Datos!BF31)/Datos!BF31),(Tasas!D31-Datos!BF31)/Datos!BF31," - ")</f>
        <v>-0.22966442543790733</v>
      </c>
      <c r="K31" s="1097">
        <f>IF(ISNUMBER((Tasas!E31-Datos!BG31)/Datos!BG31),(Tasas!E31-Datos!BG31)/Datos!BG31," - ")</f>
        <v>0.10683645510848311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Gxp0RQofKMkUREEa4IchmmjzKAvTVFUqud3QXxtREHmHhGa3DCMUJ81RWFC3qibD5N4K1OVTfHL74IHDdGHQ==" saltValue="PMwOzTmH6kI1uoml3dhD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BETANZOS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1.0454545454545454</v>
      </c>
      <c r="C10" s="498">
        <f>IF(ISNUMBER(NºAsuntos!I10/NºAsuntos!G10),NºAsuntos!I10/NºAsuntos!G10," - ")</f>
        <v>0.56521739130434778</v>
      </c>
      <c r="D10" s="499">
        <f>IF(ISNUMBER('Resol  Asuntos'!D10/NºAsuntos!G10),'Resol  Asuntos'!D10/NºAsuntos!G10," - ")</f>
        <v>0.47826086956521741</v>
      </c>
      <c r="E10" s="500">
        <f>IF(ISNUMBER((NºAsuntos!C10+NºAsuntos!E10)/NºAsuntos!G10),(NºAsuntos!C10+NºAsuntos!E10)/NºAsuntos!G10," - ")</f>
        <v>1.5652173913043479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0.81027104136947214</v>
      </c>
      <c r="C12" s="498">
        <f>IF(ISNUMBER(NºAsuntos!I12/NºAsuntos!G12),NºAsuntos!I12/NºAsuntos!G12," - ")</f>
        <v>0.83556338028169019</v>
      </c>
      <c r="D12" s="499">
        <f>IF(ISNUMBER('Resol  Asuntos'!D12/NºAsuntos!G12),'Resol  Asuntos'!D12/NºAsuntos!G12," - ")</f>
        <v>0.26161971830985914</v>
      </c>
      <c r="E12" s="500">
        <f>IF(ISNUMBER((NºAsuntos!C12+NºAsuntos!E12)/NºAsuntos!G12),(NºAsuntos!C12+NºAsuntos!E12)/NºAsuntos!G12," - ")</f>
        <v>1.8507042253521127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0.81173802098100367</v>
      </c>
      <c r="C14" s="1156">
        <f>IF(ISNUMBER(NºAsuntos!I14/NºAsuntos!G14),NºAsuntos!I14/NºAsuntos!G14," - ")</f>
        <v>0.8333915473279776</v>
      </c>
      <c r="D14" s="1157">
        <f>IF(ISNUMBER('Resol  Asuntos'!D14/NºAsuntos!G14),'Resol  Asuntos'!D14/NºAsuntos!G14," - ")</f>
        <v>0.26336011177086971</v>
      </c>
      <c r="E14" s="1158">
        <f>IF(ISNUMBER((NºAsuntos!C14+NºAsuntos!E14)/NºAsuntos!G14),(NºAsuntos!C14+NºAsuntos!E14)/NºAsuntos!G14," - ")</f>
        <v>1.8484107579462103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0.9023255813953488</v>
      </c>
      <c r="C17" s="498">
        <f>IF(ISNUMBER(NºAsuntos!I17/NºAsuntos!G17),NºAsuntos!I17/NºAsuntos!G17," - ")</f>
        <v>0.35125184094256257</v>
      </c>
      <c r="D17" s="499">
        <f>IF(ISNUMBER('Resol  Asuntos'!D17/NºAsuntos!G17),'Resol  Asuntos'!D17/NºAsuntos!G17," - ")</f>
        <v>0.11892488954344624</v>
      </c>
      <c r="E17" s="500">
        <f>IF(ISNUMBER((NºAsuntos!C17+NºAsuntos!E17)/NºAsuntos!G17),(NºAsuntos!C17+NºAsuntos!E17)/NºAsuntos!G17," - ")</f>
        <v>1.3803387334315169</v>
      </c>
      <c r="G17" s="523"/>
    </row>
    <row r="18" spans="1:7">
      <c r="A18" s="450" t="str">
        <f>Datos!A18</f>
        <v>Jdos. Violencia contra la mujer</v>
      </c>
      <c r="B18" s="497">
        <f>IF(ISNUMBER(NºAsuntos!G18/NºAsuntos!E18),NºAsuntos!G18/NºAsuntos!E18," - ")</f>
        <v>1.0324324324324323</v>
      </c>
      <c r="C18" s="498">
        <f>IF(ISNUMBER(NºAsuntos!I18/NºAsuntos!G18),NºAsuntos!I18/NºAsuntos!G18," - ")</f>
        <v>0.21465968586387435</v>
      </c>
      <c r="D18" s="499">
        <f>IF(ISNUMBER('Resol  Asuntos'!D18/NºAsuntos!G18),'Resol  Asuntos'!D18/NºAsuntos!G18," - ")</f>
        <v>0.13612565445026178</v>
      </c>
      <c r="E18" s="500">
        <f>IF(ISNUMBER((NºAsuntos!C18+NºAsuntos!E18)/NºAsuntos!G18),(NºAsuntos!C18+NºAsuntos!E18)/NºAsuntos!G18," - ")</f>
        <v>1.2146596858638743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0.90985915492957747</v>
      </c>
      <c r="C23" s="1156">
        <f>IF(ISNUMBER(NºAsuntos!I23/NºAsuntos!G23),NºAsuntos!I23/NºAsuntos!G23," - ")</f>
        <v>0.34227726178190576</v>
      </c>
      <c r="D23" s="1159">
        <f>IF(ISNUMBER('Resol  Asuntos'!D23/NºAsuntos!G23),'Resol  Asuntos'!D23/NºAsuntos!G23," - ")</f>
        <v>0.12005503955968352</v>
      </c>
      <c r="E23" s="1158">
        <f>IF(ISNUMBER((NºAsuntos!C23+NºAsuntos!E23)/NºAsuntos!G23),(NºAsuntos!C23+NºAsuntos!E23)/NºAsuntos!G23," - ")</f>
        <v>1.369453044375645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0.85837548348705739</v>
      </c>
      <c r="C31" s="1099">
        <f>IF(ISNUMBER(NºAsuntos!I31/NºAsuntos!G31),NºAsuntos!I31/NºAsuntos!G31," - ")</f>
        <v>0.58596187175043324</v>
      </c>
      <c r="D31" s="1100">
        <f>IF(ISNUMBER('Resol  Asuntos'!D31/NºAsuntos!G31),'Resol  Asuntos'!D31/NºAsuntos!G31," - ")</f>
        <v>0.19116117850953207</v>
      </c>
      <c r="E31" s="1101">
        <f>IF(ISNUMBER((NºAsuntos!C31+NºAsuntos!E31)/NºAsuntos!G31),(NºAsuntos!C31+NºAsuntos!E31)/NºAsuntos!G31," - ")</f>
        <v>1.6071057192374349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U5RcC0TAwd6VAE6TviAIzMXQmuLCbC3WN1PkaEOWv9oNI47vvZAQOqdEGeWNq+xcQsrBB1tCgYVkaZWkZHC+w==" saltValue="XZy7REr4bZlNULzX1AV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BETANZOS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6</v>
      </c>
      <c r="Y10" s="374">
        <f t="shared" ref="Y10:Y13" si="0">SUM(W10:X10)</f>
        <v>29</v>
      </c>
      <c r="Z10" s="375" t="str">
        <f>IF(ISNUMBER(Datos!CC10),Datos!CC10," - ")</f>
        <v xml:space="preserve"> - </v>
      </c>
      <c r="AA10" s="372">
        <f>IF(ISNUMBER(Datos!L10),Datos!L10,"-")</f>
        <v>13</v>
      </c>
      <c r="AB10" s="374">
        <f>IF(ISNUMBER(Datos!R10),Datos!R10," - ")</f>
        <v>10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1.0454545454545454</v>
      </c>
      <c r="AM10" s="284">
        <f>IF(ISNUMBER(((NºAsuntos!I10/NºAsuntos!G10)*11)/factor_trimestre),((NºAsuntos!I10/NºAsuntos!G10)*11)/factor_trimestre," - ")</f>
        <v>6.2173913043478253</v>
      </c>
      <c r="AN10" s="267">
        <f>IF(ISNUMBER('Resol  Asuntos'!D10/NºAsuntos!G10),'Resol  Asuntos'!D10/NºAsuntos!G10," - ")</f>
        <v>0.47826086956521741</v>
      </c>
      <c r="AO10" s="268">
        <f>IF(ISNUMBER((NºAsuntos!C10+NºAsuntos!E10)/NºAsuntos!G10),(NºAsuntos!C10+NºAsuntos!E10)/NºAsuntos!G10," - ")</f>
        <v>1.5652173913043479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434</v>
      </c>
      <c r="Y12" s="374">
        <f t="shared" si="0"/>
        <v>434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743</v>
      </c>
      <c r="AJ12" s="243" t="str">
        <f>IF(ISNUMBER(Datos!BW12),Datos!BW12," - ")</f>
        <v xml:space="preserve"> - </v>
      </c>
      <c r="AK12" s="242" t="str">
        <f>IF(ISNUMBER(Datos!BX12),Datos!BX12," - ")</f>
        <v xml:space="preserve"> - </v>
      </c>
      <c r="AL12" s="266">
        <f>IF(ISNUMBER(NºAsuntos!G12/NºAsuntos!E12),NºAsuntos!G12/NºAsuntos!E12," - ")</f>
        <v>0.81027104136947214</v>
      </c>
      <c r="AM12" s="284">
        <f>IF(ISNUMBER(((NºAsuntos!I12/NºAsuntos!G12)*11)/factor_trimestre),((NºAsuntos!I12/NºAsuntos!G12)*11)/factor_trimestre," - ")</f>
        <v>9.1911971830985912</v>
      </c>
      <c r="AN12" s="267">
        <f>IF(ISNUMBER('Resol  Asuntos'!D12/NºAsuntos!G12),'Resol  Asuntos'!D12/NºAsuntos!G12," - ")</f>
        <v>0.26161971830985914</v>
      </c>
      <c r="AO12" s="268">
        <f>IF(ISNUMBER((NºAsuntos!C12+NºAsuntos!E12)/NºAsuntos!G12),(NºAsuntos!C12+NºAsuntos!E12)/NºAsuntos!G12," - ")</f>
        <v>1.8507042253521127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791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440</v>
      </c>
      <c r="Y14" s="1165">
        <f t="shared" si="6"/>
        <v>463</v>
      </c>
      <c r="Z14" s="1165">
        <f t="shared" si="6"/>
        <v>0</v>
      </c>
      <c r="AA14" s="1165">
        <f t="shared" si="6"/>
        <v>13</v>
      </c>
      <c r="AB14" s="1165">
        <f t="shared" si="6"/>
        <v>2909</v>
      </c>
      <c r="AC14" s="1165">
        <f t="shared" si="6"/>
        <v>23</v>
      </c>
      <c r="AD14" s="1165">
        <f t="shared" si="6"/>
        <v>0</v>
      </c>
      <c r="AE14" s="1169">
        <f t="shared" si="6"/>
        <v>0</v>
      </c>
      <c r="AF14" s="1162">
        <f t="shared" si="6"/>
        <v>0</v>
      </c>
      <c r="AG14" s="1170">
        <f t="shared" si="6"/>
        <v>0</v>
      </c>
      <c r="AH14" s="1167">
        <f t="shared" si="6"/>
        <v>0</v>
      </c>
      <c r="AI14" s="1162">
        <f t="shared" si="6"/>
        <v>754</v>
      </c>
      <c r="AJ14" s="1164">
        <f t="shared" si="6"/>
        <v>0</v>
      </c>
      <c r="AK14" s="1167">
        <f>SUBTOTAL(9,AK9:AK13)</f>
        <v>0</v>
      </c>
      <c r="AL14" s="1171">
        <f>IF(ISNUMBER(NºAsuntos!G14/NºAsuntos!E14),NºAsuntos!G14/NºAsuntos!E14," - ")</f>
        <v>0.81173802098100367</v>
      </c>
      <c r="AM14" s="1171">
        <f>IF(ISNUMBER(((NºAsuntos!I14/NºAsuntos!G14)*11)/factor_trimestre),((NºAsuntos!I14/NºAsuntos!G14)*11)/factor_trimestre," - ")</f>
        <v>9.1673070206077529</v>
      </c>
      <c r="AN14" s="1172">
        <f>IF(ISNUMBER('Resol  Asuntos'!D14/NºAsuntos!G14),'Resol  Asuntos'!D14/NºAsuntos!G14," - ")</f>
        <v>0.26336011177086971</v>
      </c>
      <c r="AO14" s="1173">
        <f>IF(ISNUMBER((NºAsuntos!C14+NºAsuntos!E14)/NºAsuntos!G14),(NºAsuntos!C14+NºAsuntos!E14)/NºAsuntos!G14," - ")</f>
        <v>1.8484107579462103</v>
      </c>
      <c r="AP14" s="1174" t="str">
        <f t="shared" si="2"/>
        <v xml:space="preserve"> - </v>
      </c>
      <c r="AQ14" s="1174">
        <f>IF(ISNUMBER((H14-W14+K14)/(F14)),(H14-W14+K14)/(F14)," - ")</f>
        <v>-1.6428571428571428</v>
      </c>
      <c r="AR14" s="1175">
        <f>IF(ISNUMBER((Datos!P14-Datos!Q14)/(Datos!R14-Datos!P14+Datos!Q14)),(Datos!P14-Datos!Q14)/(Datos!R14-Datos!P14+Datos!Q14)," - ")</f>
        <v>0.13721657544956997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660</v>
      </c>
      <c r="G17" s="373">
        <f>IF(ISNUMBER(IF(D_I="SI",Datos!I17,Datos!I17+Datos!AC17)),IF(D_I="SI",Datos!I17,Datos!I17+Datos!AC17)," - ")</f>
        <v>739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2716</v>
      </c>
      <c r="X17" s="240">
        <f>IF(ISNUMBER(Datos!Q17),Datos!Q17," - ")</f>
        <v>86</v>
      </c>
      <c r="Y17" s="374">
        <f t="shared" ref="Y17:Y22" si="9">SUM(W17:X17)</f>
        <v>2802</v>
      </c>
      <c r="Z17" s="375" t="str">
        <f>IF(ISNUMBER(Datos!CC17),Datos!CC17," - ")</f>
        <v xml:space="preserve"> - </v>
      </c>
      <c r="AA17" s="372">
        <f>IF(ISNUMBER(IF(D_I="SI",Datos!L17,Datos!L17+Datos!AF17)),IF(D_I="SI",Datos!L17,Datos!L17+Datos!AF17)," - ")</f>
        <v>954</v>
      </c>
      <c r="AB17" s="374">
        <f>IF(ISNUMBER(Datos!R17),Datos!R17," - ")</f>
        <v>81</v>
      </c>
      <c r="AC17" s="374">
        <f t="shared" si="8"/>
        <v>1035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323</v>
      </c>
      <c r="AJ17" s="245" t="str">
        <f>IF(ISNUMBER(Datos!BW17),Datos!BW17," - ")</f>
        <v xml:space="preserve"> - </v>
      </c>
      <c r="AK17" s="246" t="str">
        <f>IF(ISNUMBER(Datos!BX17),Datos!BX17," - ")</f>
        <v xml:space="preserve"> - </v>
      </c>
      <c r="AL17" s="266">
        <f>IF(ISNUMBER(NºAsuntos!G17/NºAsuntos!E17),NºAsuntos!G17/NºAsuntos!E17," - ")</f>
        <v>0.9023255813953488</v>
      </c>
      <c r="AM17" s="284">
        <f>IF(ISNUMBER(((NºAsuntos!I17/NºAsuntos!G17)*11)/factor_trimestre),((NºAsuntos!I17/NºAsuntos!G17)*11)/factor_trimestre," - ")</f>
        <v>3.8637702503681881</v>
      </c>
      <c r="AN17" s="267">
        <f>IF(ISNUMBER('Resol  Asuntos'!D17/NºAsuntos!G17),'Resol  Asuntos'!D17/NºAsuntos!G17," - ")</f>
        <v>0.11892488954344624</v>
      </c>
      <c r="AO17" s="268">
        <f>IF(ISNUMBER((NºAsuntos!C17+NºAsuntos!E17)/NºAsuntos!G17),(NºAsuntos!C17+NºAsuntos!E17)/NºAsuntos!G17," - ")</f>
        <v>1.3803387334315169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191</v>
      </c>
      <c r="X18" s="240">
        <f>IF(ISNUMBER(Datos!Q18),Datos!Q18," - ")</f>
        <v>1</v>
      </c>
      <c r="Y18" s="374">
        <f t="shared" si="9"/>
        <v>192</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1.0324324324324323</v>
      </c>
      <c r="AM18" s="284">
        <f>IF(ISNUMBER(((NºAsuntos!I18/NºAsuntos!G18)*11)/factor_trimestre),((NºAsuntos!I18/NºAsuntos!G18)*11)/factor_trimestre," - ")</f>
        <v>2.3612565445026177</v>
      </c>
      <c r="AN18" s="267">
        <f>IF(ISNUMBER('Resol  Asuntos'!D18/NºAsuntos!G18),'Resol  Asuntos'!D18/NºAsuntos!G18," - ")</f>
        <v>0.13612565445026178</v>
      </c>
      <c r="AO18" s="268">
        <f>IF(ISNUMBER((NºAsuntos!C18+NºAsuntos!E18)/NºAsuntos!G18),(NºAsuntos!C18+NºAsuntos!E18)/NºAsuntos!G18," - ")</f>
        <v>1.2146596858638743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660</v>
      </c>
      <c r="G23" s="1163">
        <f>SUBTOTAL(9,G16:G22)</f>
        <v>786</v>
      </c>
      <c r="H23" s="1162">
        <f t="shared" ref="H23:O23" si="13">SUBTOTAL(9,H15:H22)</f>
        <v>0</v>
      </c>
      <c r="I23" s="1164">
        <f t="shared" si="13"/>
        <v>0</v>
      </c>
      <c r="J23" s="1164">
        <f t="shared" si="13"/>
        <v>0</v>
      </c>
      <c r="K23" s="1164">
        <f t="shared" si="13"/>
        <v>0</v>
      </c>
      <c r="L23" s="1164">
        <f t="shared" si="13"/>
        <v>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2907</v>
      </c>
      <c r="X23" s="1164">
        <f t="shared" si="14"/>
        <v>87</v>
      </c>
      <c r="Y23" s="1165">
        <f t="shared" si="14"/>
        <v>2994</v>
      </c>
      <c r="Z23" s="1165">
        <f t="shared" si="14"/>
        <v>0</v>
      </c>
      <c r="AA23" s="1165">
        <f t="shared" si="14"/>
        <v>995</v>
      </c>
      <c r="AB23" s="1165">
        <f t="shared" si="14"/>
        <v>81</v>
      </c>
      <c r="AC23" s="1165">
        <f t="shared" si="14"/>
        <v>1076</v>
      </c>
      <c r="AD23" s="1165">
        <f t="shared" si="14"/>
        <v>0</v>
      </c>
      <c r="AE23" s="1169">
        <f t="shared" si="14"/>
        <v>0</v>
      </c>
      <c r="AF23" s="1162">
        <f t="shared" si="14"/>
        <v>0</v>
      </c>
      <c r="AG23" s="1170">
        <f t="shared" si="14"/>
        <v>0</v>
      </c>
      <c r="AH23" s="1167">
        <f t="shared" si="14"/>
        <v>0</v>
      </c>
      <c r="AI23" s="1162">
        <f t="shared" si="14"/>
        <v>349</v>
      </c>
      <c r="AJ23" s="1164">
        <f t="shared" si="14"/>
        <v>0</v>
      </c>
      <c r="AK23" s="1167">
        <f t="shared" si="14"/>
        <v>0</v>
      </c>
      <c r="AL23" s="1171">
        <f>IF(ISNUMBER(NºAsuntos!G23/NºAsuntos!E23),NºAsuntos!G23/NºAsuntos!E23," - ")</f>
        <v>0.90985915492957747</v>
      </c>
      <c r="AM23" s="1171">
        <f>IF(ISNUMBER(((NºAsuntos!I23/NºAsuntos!G23)*11)/factor_trimestre),((NºAsuntos!I23/NºAsuntos!G23)*11)/factor_trimestre," - ")</f>
        <v>3.7650498796009635</v>
      </c>
      <c r="AN23" s="1172">
        <f>IF(ISNUMBER('Resol  Asuntos'!D23/NºAsuntos!G23),'Resol  Asuntos'!D23/NºAsuntos!G23," - ")</f>
        <v>0.12005503955968352</v>
      </c>
      <c r="AO23" s="1173">
        <f>IF(ISNUMBER((NºAsuntos!C23+NºAsuntos!E23)/NºAsuntos!G23),(NºAsuntos!C23+NºAsuntos!E23)/NºAsuntos!G23," - ")</f>
        <v>1.369453044375645</v>
      </c>
      <c r="AP23" s="1174" t="str">
        <f t="shared" si="2"/>
        <v xml:space="preserve"> - </v>
      </c>
      <c r="AQ23" s="1174">
        <f>IF(ISNUMBER((H23-W23+K23)/(F23)),(H23-W23+K23)/(F23)," - ")</f>
        <v>-4.4045454545454543</v>
      </c>
      <c r="AR23" s="1175">
        <f>IF(ISNUMBER((Datos!P23-Datos!Q23)/(Datos!R23-Datos!P23+Datos!Q23)),(Datos!P23-Datos!Q23)/(Datos!R23-Datos!P23+Datos!Q23)," - ")</f>
        <v>-1.2195121951219513E-2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674</v>
      </c>
      <c r="G31" s="1118">
        <f t="shared" si="20"/>
        <v>800</v>
      </c>
      <c r="H31" s="1117">
        <f t="shared" si="20"/>
        <v>0</v>
      </c>
      <c r="I31" s="1119">
        <f t="shared" si="20"/>
        <v>0</v>
      </c>
      <c r="J31" s="1119">
        <f t="shared" si="20"/>
        <v>0</v>
      </c>
      <c r="K31" s="1180">
        <f t="shared" si="20"/>
        <v>0</v>
      </c>
      <c r="L31" s="1119">
        <f t="shared" si="20"/>
        <v>877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2930</v>
      </c>
      <c r="X31" s="1118">
        <f t="shared" si="21"/>
        <v>527</v>
      </c>
      <c r="Y31" s="1125">
        <f t="shared" si="21"/>
        <v>3457</v>
      </c>
      <c r="Z31" s="1125">
        <f t="shared" si="21"/>
        <v>0</v>
      </c>
      <c r="AA31" s="1125">
        <f t="shared" si="21"/>
        <v>1008</v>
      </c>
      <c r="AB31" s="1125">
        <f t="shared" si="21"/>
        <v>2990</v>
      </c>
      <c r="AC31" s="1125">
        <f t="shared" si="21"/>
        <v>1099</v>
      </c>
      <c r="AD31" s="1125">
        <f t="shared" si="21"/>
        <v>0</v>
      </c>
      <c r="AE31" s="1127">
        <f t="shared" si="21"/>
        <v>0</v>
      </c>
      <c r="AF31" s="1128">
        <f t="shared" si="21"/>
        <v>0</v>
      </c>
      <c r="AG31" s="1129">
        <f t="shared" si="21"/>
        <v>0</v>
      </c>
      <c r="AH31" s="1127">
        <f t="shared" si="21"/>
        <v>0</v>
      </c>
      <c r="AI31" s="1117">
        <f t="shared" si="21"/>
        <v>1103</v>
      </c>
      <c r="AJ31" s="1117">
        <f t="shared" si="21"/>
        <v>0</v>
      </c>
      <c r="AK31" s="1127">
        <f t="shared" si="21"/>
        <v>0</v>
      </c>
      <c r="AL31" s="1183">
        <f>IF(ISNUMBER(NºAsuntos!G31/NºAsuntos!E31),NºAsuntos!G31/NºAsuntos!E31," - ")</f>
        <v>0.85837548348705739</v>
      </c>
      <c r="AM31" s="1184">
        <f>IF(ISNUMBER(((NºAsuntos!I31/NºAsuntos!G31)*11)/factor_trimestre),((NºAsuntos!I31/NºAsuntos!G31)*11)/factor_trimestre," - ")</f>
        <v>6.4455805892547655</v>
      </c>
      <c r="AN31" s="1184">
        <f>IF(ISNUMBER('Resol  Asuntos'!D31/NºAsuntos!G31),'Resol  Asuntos'!D31/NºAsuntos!G31," - ")</f>
        <v>0.19116117850953207</v>
      </c>
      <c r="AO31" s="1185">
        <f>IF(ISNUMBER((NºAsuntos!C31+NºAsuntos!E31)/NºAsuntos!G31),(NºAsuntos!C31+NºAsuntos!E31)/NºAsuntos!G31," - ")</f>
        <v>1.6071057192374349</v>
      </c>
      <c r="AP31" s="1186" t="str">
        <f t="shared" si="2"/>
        <v xml:space="preserve"> - </v>
      </c>
      <c r="AQ31" s="1187">
        <f>IF(OR(ISNUMBER(FIND("01",Criterios!A8,1)),ISNUMBER(FIND("02",Criterios!A8,1)),ISNUMBER(FIND("03",Criterios!A8,1)),ISNUMBER(FIND("04",Criterios!A8,1))),(I31-W31+K31)/(F31-K31),(H31-W31+K31)/(F31-K31))</f>
        <v>-4.3471810089020773</v>
      </c>
      <c r="AR31" s="1188">
        <f>IF(ISNUMBER((Datos!P31-Datos!Q31)/(Datos!R31-Datos!P31+Datos!Q31)),(Datos!P31-Datos!Q31)/(Datos!R31-Datos!P31+Datos!Q31)," - ")</f>
        <v>0.13257575757575757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337.26586940671399</v>
      </c>
      <c r="G33" s="277">
        <f>IF(ISNUMBER(STDEV(G8:G30)),STDEV(G8:G30),"-")</f>
        <v>365.33174747657193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1351.4921911935498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324.95878859589919</v>
      </c>
      <c r="AJ33" s="276">
        <f t="shared" si="25"/>
        <v>0</v>
      </c>
      <c r="AK33" s="278">
        <f t="shared" si="25"/>
        <v>0</v>
      </c>
      <c r="AL33" s="273">
        <f t="shared" si="25"/>
        <v>0.10251415976625794</v>
      </c>
      <c r="AM33" s="274">
        <f t="shared" si="25"/>
        <v>2.9229788376018333</v>
      </c>
      <c r="AN33" s="274">
        <f t="shared" si="25"/>
        <v>0.13927216121367894</v>
      </c>
      <c r="AO33" s="275">
        <f t="shared" si="25"/>
        <v>0.26559125179970672</v>
      </c>
      <c r="AP33" s="317" t="str">
        <f t="shared" si="25"/>
        <v>-</v>
      </c>
      <c r="AQ33" s="318">
        <f t="shared" si="25"/>
        <v>1.952808532718433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2YVtl4JpL767F+9rN+nzFRVNZPYtjgAnhLbwExwMyptTNuefdKm7Tlzur000KyyoXQ4167sAzaj9lQlgPXDBQ==" saltValue="Cj8sveYM0oW2KpS1nOvw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BETANZOS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-0.12</v>
      </c>
      <c r="F10" s="393">
        <f>IF(ISNUMBER((Datos!K10-Datos!U10)/Datos!U10),(Datos!K10-Datos!U10)/Datos!U10," - ")</f>
        <v>-0.11538461538461539</v>
      </c>
      <c r="G10" s="394">
        <f>IF(ISNUMBER((Datos!L10-Datos!V10)/Datos!V10),(Datos!L10-Datos!V10)/Datos!V10," - ")</f>
        <v>-7.1428571428571425E-2</v>
      </c>
      <c r="H10" s="244">
        <f>IF(ISNUMBER((Datos!M10-Datos!W10)/Datos!W10),(Datos!M10-Datos!W10)/Datos!W10," - ")</f>
        <v>-0.35294117647058826</v>
      </c>
      <c r="I10" s="395">
        <f>IF(ISNUMBER((Tasas!C10-Datos!BE10)/Datos!BE10),(Tasas!C10-Datos!BE10)/Datos!BE10," - ")</f>
        <v>4.9689440993788789E-2</v>
      </c>
      <c r="J10" s="394">
        <f>IF(ISNUMBER((Tasas!D10-Datos!BF10)/Datos!BF10),(Tasas!D10-Datos!BF10)/Datos!BF10," - ")</f>
        <v>-0.26854219948849106</v>
      </c>
      <c r="K10" s="396">
        <f>IF(ISNUMBER((Tasas!E10-Datos!BG10)/Datos!BG10),(Tasas!E10-Datos!BG10)/Datos!BG10," - ")</f>
        <v>1.7391304347826073E-2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7.2150072150072145E-2</v>
      </c>
      <c r="I12" s="395">
        <f>IF(ISNUMBER((Tasas!C12-Datos!BE12)/Datos!BE12),(Tasas!C12-Datos!BE12)/Datos!BE12," - ")</f>
        <v>0.47929553333708719</v>
      </c>
      <c r="J12" s="394">
        <f>IF(ISNUMBER((Tasas!D12-Datos!BF12)/Datos!BF12),(Tasas!D12-Datos!BF12)/Datos!BF12," - ")</f>
        <v>-0.25526067331445063</v>
      </c>
      <c r="K12" s="396">
        <f>IF(ISNUMBER((Tasas!E12-Datos!BG12)/Datos!BG12),(Tasas!E12-Datos!BG12)/Datos!BG12," - ")</f>
        <v>0.16278538682439186</v>
      </c>
      <c r="M12" t="e">
        <f>IF(Monitorios="SI",Datos!CE12,0)</f>
        <v>#REF!</v>
      </c>
      <c r="N12" t="e">
        <f>IF(Monitorios="SI",Datos!CF12,0)</f>
        <v>#REF!</v>
      </c>
      <c r="O12" t="e">
        <f>IF(Monitorios="SI",Datos!CG12,0)</f>
        <v>#REF!</v>
      </c>
      <c r="P12" t="e">
        <f>IF(Monitorios="SI",Datos!CH12,0)</f>
        <v>#REF!</v>
      </c>
      <c r="Q12">
        <f>IF(J_V="SI",0,Datos!AG12)</f>
        <v>99</v>
      </c>
      <c r="R12">
        <f>IF(J_V="SI",0,Datos!AH12)</f>
        <v>430</v>
      </c>
      <c r="S12">
        <f>IF(J_V="SI",0,Datos!AI12)</f>
        <v>401</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6.1971830985915494E-2</v>
      </c>
      <c r="I14" s="402">
        <f>IF(ISNUMBER((Tasas!C14-Datos!BE14)/Datos!BE14),(Tasas!C14-Datos!BE14)/Datos!BE14," - ")</f>
        <v>0.47602378297295067</v>
      </c>
      <c r="J14" s="400">
        <f>IF(ISNUMBER((Tasas!D14-Datos!BF14)/Datos!BF14),(Tasas!D14-Datos!BF14)/Datos!BF14," - ")</f>
        <v>-0.25563859909969372</v>
      </c>
      <c r="K14" s="403">
        <f>IF(ISNUMBER((Tasas!E14-Datos!BG14)/Datos!BG14),(Tasas!E14-Datos!BG14)/Datos!BG14," - ")</f>
        <v>0.16166707465618288</v>
      </c>
      <c r="M14" t="e">
        <f>IF(Monitorios="SI",Datos!CE14,0)</f>
        <v>#REF!</v>
      </c>
      <c r="N14" t="e">
        <f>IF(Monitorios="SI",Datos!CF14,0)</f>
        <v>#REF!</v>
      </c>
      <c r="O14" t="e">
        <f>IF(Monitorios="SI",Datos!CG14,0)</f>
        <v>#REF!</v>
      </c>
      <c r="P14" t="e">
        <f>IF(Monitorios="SI",Datos!CH14,0)</f>
        <v>#REF!</v>
      </c>
      <c r="Q14">
        <f>IF(J_V="SI",0,Datos!AG14)</f>
        <v>99</v>
      </c>
      <c r="R14">
        <f>IF(J_V="SI",0,Datos!AH14)</f>
        <v>430</v>
      </c>
      <c r="S14">
        <f>IF(J_V="SI",0,Datos!AI14)</f>
        <v>401</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-0.2704837117472853</v>
      </c>
      <c r="E17" s="393">
        <f>IF(ISNUMBER(
   IF(D_I="SI",(Datos!J17-Datos!T17)/Datos!T17,(Datos!J17+Datos!AD17-(Datos!T17+Datos!AL17))/(Datos!T17+Datos!AL17))
     ),IF(D_I="SI",(Datos!J17-Datos!T17)/Datos!T17,(Datos!J17+Datos!AD17-(Datos!T17+Datos!AL17))/(Datos!T17+Datos!AL17))," - ")</f>
        <v>0.2407254740313273</v>
      </c>
      <c r="F17" s="393">
        <f>IF(ISNUMBER(
   IF(D_I="SI",(Datos!K17-Datos!U17)/Datos!U17,(Datos!K17+Datos!AE17-(Datos!U17+Datos!AM17))/(Datos!U17+Datos!AM17))
     ),IF(D_I="SI",(Datos!K17-Datos!U17)/Datos!U17,(Datos!K17+Datos!AE17-(Datos!U17+Datos!AM17))/(Datos!U17+Datos!AM17))," - ")</f>
        <v>2.8009084027252083E-2</v>
      </c>
      <c r="G17" s="394">
        <f>IF(ISNUMBER(
   IF(D_I="SI",(Datos!L17-Datos!V17)/Datos!V17,(Datos!L17+Datos!AF17-(Datos!V17+Datos!AN17))/(Datos!V17+Datos!AN17))
     ),IF(D_I="SI",(Datos!L17-Datos!V17)/Datos!V17,(Datos!L17+Datos!AF17-(Datos!V17+Datos!AN17))/(Datos!V17+Datos!AN17))," - ")</f>
        <v>0.29093369418132614</v>
      </c>
      <c r="H17" s="244">
        <f>IF(ISNUMBER((Datos!M17-Datos!W17)/Datos!W17),(Datos!M17-Datos!W17)/Datos!W17," - ")</f>
        <v>-6.6473988439306353E-2</v>
      </c>
      <c r="I17" s="395">
        <f>IF(ISNUMBER((Tasas!C17-Datos!BE17)/Datos!BE17),(Tasas!C17-Datos!BE17)/Datos!BE17," - ")</f>
        <v>0.25576097939140763</v>
      </c>
      <c r="J17" s="394">
        <f>IF(ISNUMBER((Tasas!D17-Datos!BF17)/Datos!BF17),(Tasas!D17-Datos!BF17)/Datos!BF17," - ")</f>
        <v>-9.1908791405245799E-2</v>
      </c>
      <c r="K17" s="396">
        <f>IF(ISNUMBER((Tasas!E17-Datos!BG17)/Datos!BG17),(Tasas!E17-Datos!BG17)/Datos!BG17," - ")</f>
        <v>6.0440515767975413E-2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-0.30882352941176472</v>
      </c>
      <c r="E18" s="393">
        <f>IF(ISNUMBER(
   IF(D_I="SI",(Datos!J18-Datos!T18)/Datos!T18,(Datos!J18+Datos!AD18-(Datos!T18+Datos!AL18))/(Datos!T18+Datos!AL18))
     ),IF(D_I="SI",(Datos!J18-Datos!T18)/Datos!T18,(Datos!J18+Datos!AD18-(Datos!T18+Datos!AL18))/(Datos!T18+Datos!AL18))," - ")</f>
        <v>0.10778443113772455</v>
      </c>
      <c r="F18" s="393">
        <f>IF(ISNUMBER(
   IF(D_I="SI",(Datos!K18-Datos!U18)/Datos!U18,(Datos!K18+Datos!AE18-(Datos!U18+Datos!AM18))/(Datos!U18+Datos!AM18))
     ),IF(D_I="SI",(Datos!K18-Datos!U18)/Datos!U18,(Datos!K18+Datos!AE18-(Datos!U18+Datos!AM18))/(Datos!U18+Datos!AM18))," - ")</f>
        <v>1.5957446808510637E-2</v>
      </c>
      <c r="G18" s="394">
        <f>IF(ISNUMBER(
   IF(D_I="SI",(Datos!L18-Datos!V18)/Datos!V18,(Datos!L18+Datos!AF18-(Datos!V18+Datos!AN18))/(Datos!V18+Datos!AN18))
     ),IF(D_I="SI",(Datos!L18-Datos!V18)/Datos!V18,(Datos!L18+Datos!AF18-(Datos!V18+Datos!AN18))/(Datos!V18+Datos!AN18))," - ")</f>
        <v>-0.1276595744680851</v>
      </c>
      <c r="H18" s="244">
        <f>IF(ISNUMBER((Datos!M18-Datos!W18)/Datos!W18),(Datos!M18-Datos!W18)/Datos!W18," - ")</f>
        <v>0</v>
      </c>
      <c r="I18" s="395">
        <f>IF(ISNUMBER((Tasas!C18-Datos!BE18)/Datos!BE18),(Tasas!C18-Datos!BE18)/Datos!BE18," - ")</f>
        <v>-0.1413612565445026</v>
      </c>
      <c r="J18" s="394">
        <f>IF(ISNUMBER((Tasas!D18-Datos!BF18)/Datos!BF18),(Tasas!D18-Datos!BF18)/Datos!BF18," - ")</f>
        <v>-1.5706806282722516E-2</v>
      </c>
      <c r="K18" s="396">
        <f>IF(ISNUMBER((Tasas!E18-Datos!BG18)/Datos!BG18),(Tasas!E18-Datos!BG18)/Datos!BG18," - ")</f>
        <v>-2.8272251308900563E-2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-0.27289546716003699</v>
      </c>
      <c r="E23" s="399">
        <f>IF(ISNUMBER(
   IF(D_I="SI",(Datos!J23-Datos!T23)/Datos!T23,(Datos!J23+Datos!AD23-(Datos!T23+Datos!AL23))/(Datos!T23+Datos!AL23))
     ),IF(D_I="SI",(Datos!J23-Datos!T23)/Datos!T23,(Datos!J23+Datos!AD23-(Datos!T23+Datos!AL23))/(Datos!T23+Datos!AL23))," - ")</f>
        <v>0.23216351716158889</v>
      </c>
      <c r="F23" s="399">
        <f>IF(ISNUMBER(
   IF(D_I="SI",(Datos!K23-Datos!U23)/Datos!U23,(Datos!K23+Datos!AE23-(Datos!U23+Datos!AM23))/(Datos!U23+Datos!AM23))
     ),IF(D_I="SI",(Datos!K23-Datos!U23)/Datos!U23,(Datos!K23+Datos!AE23-(Datos!U23+Datos!AM23))/(Datos!U23+Datos!AM23))," - ")</f>
        <v>2.7208480565371024E-2</v>
      </c>
      <c r="G23" s="400">
        <f>IF(ISNUMBER(
   IF(D_I="SI",(Datos!L23-Datos!V23)/Datos!V23,(Datos!L23+Datos!AF23-(Datos!V23+Datos!AN23))/(Datos!V23+Datos!AN23))
     ),IF(D_I="SI",(Datos!L23-Datos!V23)/Datos!V23,(Datos!L23+Datos!AF23-(Datos!V23+Datos!AN23))/(Datos!V23+Datos!AN23))," - ")</f>
        <v>0.26590330788804073</v>
      </c>
      <c r="H23" s="401">
        <f>IF(ISNUMBER((Datos!M23-Datos!W23)/Datos!W23),(Datos!M23-Datos!W23)/Datos!W23," - ")</f>
        <v>-6.1827956989247312E-2</v>
      </c>
      <c r="I23" s="402">
        <f>IF(ISNUMBER((Tasas!C23-Datos!BE23)/Datos!BE23),(Tasas!C23-Datos!BE23)/Datos!BE23," - ")</f>
        <v>0.23237232931653087</v>
      </c>
      <c r="J23" s="400">
        <f>IF(ISNUMBER((Tasas!D23-Datos!BF23)/Datos!BF23),(Tasas!D23-Datos!BF23)/Datos!BF23," - ")</f>
        <v>-8.6678059263697926E-2</v>
      </c>
      <c r="K23" s="403">
        <f>IF(ISNUMBER((Tasas!E23-Datos!BG23)/Datos!BG23),(Tasas!E23-Datos!BG23)/Datos!BG23," - ")</f>
        <v>5.4859040713956225E-2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-0.11668975069252077</v>
      </c>
      <c r="E31" s="409">
        <f>IF(ISNUMBER(
   IF(J_V="SI",(Datos!J31-Datos!T31)/Datos!T31,(Datos!J31+Datos!Z31-(Datos!T31+Datos!AH31))/(Datos!T31+Datos!AH31))
     ),IF(J_V="SI",(Datos!J31-Datos!T31)/Datos!T31,(Datos!J31+Datos!Z31-(Datos!T31+Datos!AH31))/(Datos!T31+Datos!AH31))," - ")</f>
        <v>0.16701388888888888</v>
      </c>
      <c r="F31" s="409">
        <f>IF(ISNUMBER(
   IF(J_V="SI",(Datos!K31-Datos!U31)/Datos!U31,(Datos!K31+Datos!AA31-(Datos!U31+Datos!AI31))/(Datos!U31+Datos!AI31))
     ),IF(J_V="SI",(Datos!K31-Datos!U31)/Datos!U31,(Datos!K31+Datos!AA31-(Datos!U31+Datos!AI31))/(Datos!U31+Datos!AI31))," - ")</f>
        <v>-3.1229012760241773E-2</v>
      </c>
      <c r="G31" s="410">
        <f>IF(ISNUMBER(
   IF(J_V="SI",(Datos!L31-Datos!V31)/Datos!V31,(Datos!L31+Datos!AB31-(Datos!V31+Datos!AJ31))/(Datos!V31+Datos!AJ31))
     ),IF(J_V="SI",(Datos!L31-Datos!V31)/Datos!V31,(Datos!L31+Datos!AB31-(Datos!V31+Datos!AJ31))/(Datos!V31+Datos!AJ31))," - ")</f>
        <v>0.32536260290082319</v>
      </c>
      <c r="H31" s="411">
        <f>IF(ISNUMBER((Datos!M31-Datos!W31)/Datos!W31),(Datos!M31-Datos!W31)/Datos!W31," - ")</f>
        <v>1.9408502772643253E-2</v>
      </c>
      <c r="I31" s="408">
        <f>IF(ISNUMBER((Tasas!C31-Datos!BE31)/Datos!BE31),(Tasas!C31-Datos!BE31)/Datos!BE31," - ")</f>
        <v>0.36808659668584109</v>
      </c>
      <c r="J31" s="409">
        <f>IF(ISNUMBER((Tasas!D31-Datos!BF31)/Datos!BF31),(Tasas!D31-Datos!BF31)/Datos!BF31," - ")</f>
        <v>-0.22966442543790733</v>
      </c>
      <c r="K31" s="410">
        <f>IF(ISNUMBER((Tasas!E31-Datos!BG31)/Datos!BG31),(Tasas!E31-Datos!BG31)/Datos!BG31," - ")</f>
        <v>0.10683645510848311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0.11010534199603195</v>
      </c>
      <c r="E33" s="303">
        <f t="shared" si="1"/>
        <v>0.16813797472480083</v>
      </c>
      <c r="F33" s="303">
        <f t="shared" si="1"/>
        <v>6.977209926546532E-2</v>
      </c>
      <c r="G33" s="304">
        <f t="shared" si="1"/>
        <v>0.21965877348156318</v>
      </c>
      <c r="H33" s="310">
        <f t="shared" si="1"/>
        <v>0.15605954768229172</v>
      </c>
      <c r="I33" s="302">
        <f t="shared" si="1"/>
        <v>0.24233595723077989</v>
      </c>
      <c r="J33" s="303">
        <f t="shared" si="1"/>
        <v>0.11027633447674105</v>
      </c>
      <c r="K33" s="304">
        <f t="shared" si="1"/>
        <v>7.7129251549783479E-2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KDMX/RX6r5Uesp0KvvR5k0a3d+zJz+KNgcxqoEImNJEdEjrdEYHxpmuu0iZBJvVUmle4btxoZHl2xe5OlOxGQ==" saltValue="x61W3nxwlqGuGzzy8OJ+n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